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抵押物清单" sheetId="77" r:id="rId45"/>
    <sheet name="Sheet1"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44">抵押物清单!$A$1:$F$149</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B2" i="15"/>
  <c r="C20" i="9"/>
  <c r="G1" i="15"/>
  <c r="J50" i="15"/>
  <c r="J51" i="15"/>
  <c r="M47" i="15"/>
  <c r="M6" i="15"/>
  <c r="M8" i="15"/>
  <c r="M7" i="15"/>
  <c r="M9" i="15"/>
  <c r="J6" i="15"/>
  <c r="M11" i="15"/>
  <c r="J10" i="15"/>
  <c r="J5" i="15"/>
  <c r="J26" i="15"/>
  <c r="J29" i="15"/>
  <c r="C76" i="15"/>
  <c r="L51" i="15"/>
  <c r="L57" i="15"/>
  <c r="L47" i="15"/>
  <c r="L58" i="15"/>
  <c r="L59" i="15"/>
  <c r="L60" i="15"/>
  <c r="L46" i="15"/>
  <c r="B3" i="15"/>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S22" i="31"/>
  <c r="B20" i="31"/>
  <c r="D45" i="9"/>
  <c r="B118" i="9"/>
  <c r="C118" i="9"/>
  <c r="C32" i="9"/>
  <c r="F35" i="9"/>
  <c r="F34" i="9"/>
  <c r="K24" i="77"/>
  <c r="C33" i="21"/>
  <c r="E47" i="21"/>
  <c r="I47" i="21"/>
  <c r="G37" i="21"/>
  <c r="C37" i="21"/>
  <c r="F33" i="21"/>
  <c r="AA33" i="21"/>
  <c r="D113" i="21"/>
  <c r="E113" i="21"/>
  <c r="F113" i="21"/>
  <c r="G113" i="21"/>
  <c r="F37" i="21"/>
  <c r="AA37" i="21"/>
  <c r="R47" i="21"/>
  <c r="F34" i="21"/>
  <c r="AA34" i="21"/>
  <c r="F36" i="21"/>
  <c r="AA36" i="21"/>
  <c r="F42" i="21"/>
  <c r="AA42" i="21"/>
  <c r="F38" i="21"/>
  <c r="AA38" i="21"/>
  <c r="F39" i="21"/>
  <c r="AA39" i="21"/>
  <c r="D66" i="21"/>
  <c r="F10" i="21"/>
  <c r="AA10" i="21"/>
  <c r="R48" i="21"/>
  <c r="H33" i="21"/>
  <c r="AB33" i="21"/>
  <c r="H37" i="21"/>
  <c r="AB37" i="21"/>
  <c r="H34" i="21"/>
  <c r="AB34" i="21"/>
  <c r="H36" i="21"/>
  <c r="AB36" i="21"/>
  <c r="H42" i="21"/>
  <c r="AB42" i="21"/>
  <c r="H38" i="21"/>
  <c r="AB38" i="21"/>
  <c r="H39" i="21"/>
  <c r="AB39" i="21"/>
  <c r="H10" i="21"/>
  <c r="AB10" i="21"/>
  <c r="T48" i="21"/>
  <c r="J33" i="21"/>
  <c r="AC33" i="21"/>
  <c r="J37" i="21"/>
  <c r="AC37" i="21"/>
  <c r="V47" i="21"/>
  <c r="J34" i="21"/>
  <c r="AC34" i="21"/>
  <c r="J36" i="21"/>
  <c r="AC36" i="21"/>
  <c r="J42" i="21"/>
  <c r="AC42" i="21"/>
  <c r="J38" i="21"/>
  <c r="AC38" i="21"/>
  <c r="J39" i="21"/>
  <c r="AC39" i="21"/>
  <c r="J10" i="21"/>
  <c r="AC10" i="21"/>
  <c r="V48" i="21"/>
  <c r="R49" i="21"/>
  <c r="C49" i="21"/>
  <c r="B3" i="2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88" i="9"/>
  <c r="I91" i="9"/>
  <c r="M48" i="9"/>
  <c r="M49" i="9"/>
  <c r="B168" i="31"/>
  <c r="B169" i="31"/>
  <c r="B170" i="31"/>
  <c r="B161" i="31"/>
  <c r="B162" i="31"/>
  <c r="B163" i="31"/>
  <c r="B164" i="31"/>
  <c r="B165" i="31"/>
  <c r="B166" i="31"/>
  <c r="B167" i="31"/>
  <c r="B154" i="31"/>
  <c r="B155" i="31"/>
  <c r="B156" i="31"/>
  <c r="B157" i="31"/>
  <c r="B158" i="31"/>
  <c r="B159" i="31"/>
  <c r="B160"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27" i="31"/>
  <c r="B28" i="31"/>
  <c r="B26" i="31"/>
  <c r="B25" i="31"/>
  <c r="B24" i="31"/>
  <c r="C17" i="9"/>
  <c r="D17" i="9"/>
  <c r="C18" i="9"/>
  <c r="D18" i="9"/>
  <c r="F20" i="6"/>
  <c r="F19" i="6"/>
  <c r="I15" i="3"/>
  <c r="I16" i="3"/>
  <c r="I17" i="3"/>
  <c r="I18" i="3"/>
  <c r="I19" i="3"/>
  <c r="I20" i="3"/>
  <c r="I21" i="3"/>
  <c r="I22" i="3"/>
  <c r="I23" i="3"/>
  <c r="I24" i="3"/>
  <c r="I25" i="3"/>
  <c r="I26" i="3"/>
  <c r="I14" i="3"/>
  <c r="I13" i="3"/>
  <c r="A3" i="3"/>
  <c r="G78" i="43"/>
  <c r="G77" i="43"/>
  <c r="G76" i="43"/>
  <c r="G75" i="43"/>
  <c r="G74" i="43"/>
  <c r="G73" i="43"/>
  <c r="G72" i="43"/>
  <c r="G71" i="43"/>
  <c r="G70" i="43"/>
  <c r="BB13" i="3"/>
  <c r="BA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AZ5" i="3"/>
  <c r="E3" i="6"/>
  <c r="BB11" i="3"/>
  <c r="BB5" i="3"/>
  <c r="E5" i="6"/>
  <c r="E6" i="6"/>
  <c r="D10" i="68"/>
  <c r="C10" i="68"/>
  <c r="B29" i="1"/>
  <c r="D4" i="73"/>
  <c r="E20" i="43"/>
  <c r="O17" i="43"/>
  <c r="G20" i="43"/>
  <c r="F6" i="1"/>
  <c r="I20" i="43"/>
  <c r="C20" i="43"/>
  <c r="K70" i="43"/>
  <c r="D70" i="43"/>
  <c r="K71" i="43"/>
  <c r="J71" i="43"/>
  <c r="D71" i="43"/>
  <c r="D72" i="43"/>
  <c r="D73" i="43"/>
  <c r="D74" i="43"/>
  <c r="D75" i="43"/>
  <c r="D76" i="43"/>
  <c r="D77" i="43"/>
  <c r="D78" i="43"/>
  <c r="E70" i="43"/>
  <c r="B68" i="43"/>
  <c r="C24" i="43"/>
  <c r="I5" i="3"/>
  <c r="I4" i="6"/>
  <c r="G3" i="43"/>
  <c r="E22" i="43"/>
  <c r="G22" i="43"/>
  <c r="F22" i="43"/>
  <c r="H22" i="43"/>
  <c r="D22" i="43"/>
  <c r="C21" i="43"/>
  <c r="C29" i="43"/>
  <c r="E29" i="43"/>
  <c r="C33" i="43"/>
  <c r="E33" i="43"/>
  <c r="C34" i="43"/>
  <c r="E34" i="43"/>
  <c r="C35" i="43"/>
  <c r="E35" i="43"/>
  <c r="C36" i="43"/>
  <c r="E36" i="43"/>
  <c r="C37" i="43"/>
  <c r="E37" i="43"/>
  <c r="C38" i="43"/>
  <c r="E38" i="43"/>
  <c r="C39" i="43"/>
  <c r="D39" i="43"/>
  <c r="E39" i="43"/>
  <c r="C26" i="43"/>
  <c r="B2" i="43"/>
  <c r="C6" i="68"/>
  <c r="Y6" i="1"/>
  <c r="N6" i="1"/>
  <c r="K25" i="77"/>
  <c r="L27" i="77"/>
  <c r="K27" i="77"/>
  <c r="K23" i="77"/>
  <c r="K19" i="77"/>
  <c r="E811" i="77"/>
  <c r="E149" i="77"/>
  <c r="G148" i="77"/>
  <c r="G141" i="77"/>
  <c r="G134" i="77"/>
  <c r="G128" i="77"/>
  <c r="G123" i="77"/>
  <c r="G120" i="77"/>
  <c r="G113" i="77"/>
  <c r="G90" i="77"/>
  <c r="G83" i="77"/>
  <c r="G78" i="77"/>
  <c r="G55" i="77"/>
  <c r="G47" i="77"/>
  <c r="G27" i="77"/>
  <c r="G2" i="77"/>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J20" i="43"/>
  <c r="G2" i="43"/>
  <c r="I2" i="43"/>
  <c r="M3" i="43"/>
  <c r="C6" i="43"/>
  <c r="G17" i="43"/>
  <c r="H17" i="43"/>
  <c r="I17" i="43"/>
  <c r="J17" i="43"/>
  <c r="C17" i="43"/>
  <c r="C16" i="43"/>
  <c r="C5" i="43"/>
  <c r="F39" i="43"/>
  <c r="G39" i="43"/>
  <c r="F38" i="43"/>
  <c r="G38" i="43"/>
  <c r="F37" i="43"/>
  <c r="G37" i="43"/>
  <c r="D5" i="43"/>
  <c r="F36" i="43"/>
  <c r="G36" i="43"/>
  <c r="F35" i="43"/>
  <c r="G35" i="43"/>
  <c r="F34" i="43"/>
  <c r="G34" i="43"/>
  <c r="J53" i="67"/>
  <c r="A6" i="1"/>
  <c r="A7" i="1"/>
  <c r="F33" i="43"/>
  <c r="G33" i="43"/>
  <c r="I33" i="43"/>
  <c r="E7" i="76"/>
  <c r="E8" i="76"/>
  <c r="E9" i="76"/>
  <c r="E10" i="76"/>
  <c r="E11" i="76"/>
  <c r="E12" i="76"/>
  <c r="E13" i="76"/>
  <c r="D9" i="71"/>
  <c r="AH7" i="71"/>
  <c r="AG7" i="71"/>
  <c r="AE7" i="71"/>
  <c r="AF7" i="71"/>
  <c r="AD7" i="71"/>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G5" i="3"/>
  <c r="B3" i="3"/>
  <c r="BC13" i="3"/>
  <c r="BD13" i="3"/>
  <c r="BE13" i="3"/>
  <c r="BF13" i="3"/>
  <c r="BG13" i="3"/>
  <c r="BH13" i="3"/>
  <c r="BI13" i="3"/>
  <c r="BJ13" i="3"/>
  <c r="BK13" i="3"/>
  <c r="BM13" i="3"/>
  <c r="BN13" i="3"/>
  <c r="BO13" i="3"/>
  <c r="BP13" i="3"/>
  <c r="BQ13" i="3"/>
  <c r="BR13" i="3"/>
  <c r="BS13" i="3"/>
  <c r="BT13" i="3"/>
  <c r="BL13" i="3"/>
  <c r="AY6" i="3"/>
  <c r="D3" i="6"/>
  <c r="E19" i="6"/>
  <c r="D19" i="6"/>
  <c r="M19" i="9"/>
  <c r="C14" i="74"/>
  <c r="M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M70" i="43"/>
  <c r="N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H33" i="43"/>
  <c r="P17" i="43"/>
  <c r="N17" i="43"/>
  <c r="M17" i="43"/>
  <c r="C18" i="43"/>
  <c r="F15" i="43"/>
  <c r="E15" i="43"/>
  <c r="D15" i="43"/>
  <c r="C15" i="43"/>
  <c r="C10" i="43"/>
  <c r="C11" i="43"/>
  <c r="C9" i="43"/>
  <c r="A7" i="43"/>
  <c r="F33" i="15"/>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F40" i="21"/>
  <c r="AA40"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H40" i="21"/>
  <c r="AB40" i="21"/>
  <c r="Q40" i="21"/>
  <c r="Z40" i="21"/>
  <c r="Q41" i="21"/>
  <c r="Z41" i="21"/>
  <c r="Q42" i="21"/>
  <c r="Z42" i="21"/>
  <c r="J43" i="21"/>
  <c r="AC43" i="21"/>
  <c r="Q43" i="21"/>
  <c r="Z43" i="21"/>
  <c r="Q44" i="21"/>
  <c r="Z44" i="21"/>
  <c r="Q45" i="21"/>
  <c r="Z45" i="21"/>
  <c r="Q46" i="21"/>
  <c r="Z46" i="21"/>
  <c r="P47" i="21"/>
  <c r="T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43" i="21"/>
  <c r="S43" i="21"/>
  <c r="U38" i="21"/>
  <c r="H43" i="21"/>
  <c r="AB43" i="21"/>
  <c r="S38" i="21"/>
  <c r="S36" i="21"/>
  <c r="J40" i="21"/>
  <c r="W40" i="21"/>
  <c r="H35" i="21"/>
  <c r="AB35" i="21"/>
  <c r="J8" i="21"/>
  <c r="AC8" i="21"/>
  <c r="H8" i="21"/>
  <c r="U8" i="21"/>
  <c r="U39" i="21"/>
  <c r="W34" i="21"/>
  <c r="U36" i="21"/>
  <c r="F35" i="21"/>
  <c r="AA35"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N3"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53" i="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S39" i="21"/>
  <c r="AC40" i="21"/>
  <c r="J15" i="21"/>
  <c r="W15" i="21"/>
  <c r="F77" i="21"/>
  <c r="G77" i="21"/>
  <c r="F23" i="21"/>
  <c r="S23" i="21"/>
  <c r="E85" i="21"/>
  <c r="AC11" i="21"/>
  <c r="AA14" i="21"/>
  <c r="AB8" i="21"/>
  <c r="S8" i="21"/>
  <c r="N10" i="43"/>
  <c r="M1" i="43"/>
  <c r="M8" i="43"/>
  <c r="N8" i="43"/>
  <c r="N9" i="43"/>
  <c r="D120" i="9"/>
  <c r="F34" i="67"/>
  <c r="F62" i="67"/>
  <c r="M20" i="67"/>
  <c r="F34" i="15"/>
  <c r="F62" i="15"/>
  <c r="E10" i="6"/>
  <c r="BA5" i="3"/>
  <c r="E27"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G109" i="43"/>
  <c r="N109" i="43"/>
  <c r="F100" i="43"/>
  <c r="D9" i="53"/>
  <c r="B25" i="72"/>
  <c r="B24" i="72"/>
  <c r="G6" i="1"/>
  <c r="H85" i="43"/>
  <c r="H81" i="43"/>
  <c r="H84" i="43"/>
  <c r="H88" i="43"/>
  <c r="H53" i="43"/>
  <c r="H54" i="43"/>
  <c r="H78" i="43"/>
  <c r="H70" i="43"/>
  <c r="H71" i="43"/>
  <c r="M7" i="43"/>
  <c r="N6" i="43"/>
  <c r="M2" i="43"/>
  <c r="M10"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AA26" i="21"/>
  <c r="AB14" i="21"/>
  <c r="AB46" i="21"/>
  <c r="U40" i="21"/>
  <c r="AB31" i="21"/>
  <c r="U31" i="21"/>
  <c r="AC15" i="21"/>
  <c r="U13" i="21"/>
  <c r="AB13" i="21"/>
  <c r="W8" i="21"/>
  <c r="S35" i="21"/>
  <c r="W37" i="21"/>
  <c r="H15" i="21"/>
  <c r="U15" i="21"/>
  <c r="J17" i="21"/>
  <c r="AC17" i="21"/>
  <c r="AC19" i="21"/>
  <c r="W39" i="21"/>
  <c r="AC14" i="21"/>
  <c r="W30" i="21"/>
  <c r="S46" i="21"/>
  <c r="H45" i="21"/>
  <c r="U45" i="21"/>
  <c r="F29" i="21"/>
  <c r="S29" i="21"/>
  <c r="F13" i="21"/>
  <c r="AA13" i="21"/>
  <c r="H32" i="21"/>
  <c r="H9" i="21"/>
  <c r="J9" i="21"/>
  <c r="J32" i="21"/>
  <c r="F32" i="21"/>
  <c r="AA31" i="21"/>
  <c r="U17" i="21"/>
  <c r="W29" i="21"/>
  <c r="S19" i="21"/>
  <c r="S9" i="21"/>
  <c r="AA9" i="21"/>
  <c r="K141" i="21"/>
  <c r="K144" i="21"/>
  <c r="K143" i="21"/>
  <c r="U27" i="21"/>
  <c r="AB25" i="21"/>
  <c r="AB44" i="21"/>
  <c r="AA30" i="21"/>
  <c r="W13" i="21"/>
  <c r="W42" i="21"/>
  <c r="AC45" i="21"/>
  <c r="K145" i="21"/>
  <c r="W17" i="21"/>
  <c r="W25" i="21"/>
  <c r="AA29" i="21"/>
  <c r="W31" i="21"/>
  <c r="S27" i="21"/>
  <c r="S17" i="21"/>
  <c r="AA15" i="21"/>
  <c r="AC27" i="21"/>
  <c r="AC26" i="21"/>
  <c r="AB29"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W33" i="21"/>
  <c r="S33" i="21"/>
  <c r="W32" i="21"/>
  <c r="AC32" i="21"/>
  <c r="AB9" i="21"/>
  <c r="U9" i="21"/>
  <c r="AA32" i="21"/>
  <c r="S32" i="21"/>
  <c r="W9" i="21"/>
  <c r="AC9" i="21"/>
  <c r="AB32" i="21"/>
  <c r="U32" i="21"/>
  <c r="S10" i="21"/>
  <c r="C36" i="69"/>
  <c r="F31" i="15"/>
  <c r="C16" i="67"/>
  <c r="M17" i="15"/>
  <c r="F59" i="67"/>
  <c r="F59" i="15"/>
  <c r="F31" i="67"/>
  <c r="M17" i="67"/>
  <c r="T7" i="1"/>
  <c r="AR7" i="1"/>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D19" i="11"/>
  <c r="C19" i="11"/>
  <c r="C20"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C23" i="68"/>
  <c r="E6" i="3"/>
  <c r="C47" i="68"/>
  <c r="D45" i="68"/>
  <c r="AA10" i="39"/>
  <c r="D10" i="11"/>
  <c r="C10" i="11"/>
  <c r="D20" i="12"/>
  <c r="C20" i="12"/>
  <c r="C18"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J60" i="15"/>
  <c r="Q48" i="15"/>
  <c r="J19" i="15"/>
  <c r="J17" i="15"/>
  <c r="Q49" i="15"/>
  <c r="C57" i="15"/>
  <c r="C61" i="15"/>
  <c r="J14" i="15"/>
  <c r="J22" i="15"/>
  <c r="Q69" i="15"/>
  <c r="C56" i="15"/>
  <c r="C48" i="15"/>
  <c r="C64" i="15"/>
  <c r="Q70" i="15"/>
  <c r="C75" i="15"/>
  <c r="J13" i="15"/>
  <c r="J23" i="15"/>
  <c r="J16" i="15"/>
  <c r="J25" i="15"/>
  <c r="AE8" i="1"/>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21"/>
  <c r="C19" i="9"/>
  <c r="E2" i="68"/>
  <c r="D2" i="35"/>
  <c r="B2" i="36"/>
  <c r="B3" i="36"/>
  <c r="B2" i="35"/>
  <c r="B3" i="35"/>
  <c r="B2" i="37"/>
  <c r="B3" i="37"/>
  <c r="B2" i="34"/>
  <c r="B3" i="34"/>
  <c r="B2" i="70"/>
  <c r="B3" i="70"/>
  <c r="C102" i="9"/>
  <c r="C21" i="9"/>
  <c r="B3" i="68"/>
  <c r="D19" i="9"/>
  <c r="G19" i="9"/>
  <c r="D102" i="9"/>
  <c r="D22" i="9"/>
  <c r="D21" i="9"/>
  <c r="C103" i="9"/>
  <c r="D103" i="9"/>
  <c r="G21" i="9"/>
  <c r="C34" i="9"/>
  <c r="D34" i="9"/>
  <c r="H109" i="9"/>
  <c r="H118" i="9"/>
  <c r="H101" i="9"/>
  <c r="H107"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35" i="9"/>
  <c r="D35" i="9"/>
  <c r="D55" i="9"/>
  <c r="M53" i="9"/>
  <c r="C85" i="9"/>
  <c r="C93" i="9"/>
  <c r="C86" i="9"/>
  <c r="C95" i="9"/>
  <c r="C96" i="9"/>
  <c r="C97" i="9"/>
  <c r="D58" i="9"/>
  <c r="D56" i="9"/>
  <c r="M54" i="9"/>
  <c r="D59" i="9"/>
  <c r="M55" i="9"/>
  <c r="N57" i="9"/>
  <c r="N59" i="9"/>
  <c r="N61" i="9"/>
  <c r="H112" i="9"/>
  <c r="D21" i="53"/>
  <c r="B39" i="72"/>
  <c r="H111" i="9"/>
  <c r="D126" i="9"/>
  <c r="D19" i="53"/>
  <c r="B38" i="72"/>
  <c r="D20" i="53"/>
  <c r="B40" i="72"/>
  <c r="I14" i="74"/>
  <c r="B8" i="74"/>
  <c r="D127" i="9"/>
  <c r="D13" i="52"/>
  <c r="D12" i="52"/>
  <c r="F118" i="9"/>
  <c r="G118" i="9"/>
  <c r="G4" i="52"/>
  <c r="B52" i="72"/>
  <c r="D118" i="9"/>
  <c r="D119" i="9"/>
  <c r="D5" i="52"/>
  <c r="B49" i="72"/>
  <c r="C104" i="9"/>
  <c r="D8" i="74"/>
  <c r="C8" i="74"/>
  <c r="I118" i="9"/>
  <c r="C105" i="9"/>
  <c r="H119" i="9"/>
  <c r="H5" i="52"/>
  <c r="F4" i="52"/>
  <c r="B51" i="72"/>
  <c r="F119" i="9"/>
  <c r="F5" i="52"/>
  <c r="B53" i="72"/>
  <c r="D14" i="74"/>
  <c r="H4" i="52"/>
  <c r="D4" i="52"/>
  <c r="B47" i="72"/>
  <c r="I4" i="52"/>
  <c r="D5" i="53"/>
  <c r="B20" i="72"/>
  <c r="H102" i="9"/>
  <c r="D7" i="53"/>
  <c r="B21" i="72"/>
  <c r="E118" i="9"/>
  <c r="E4" i="52"/>
  <c r="B48" i="72"/>
  <c r="D122" i="9"/>
  <c r="H108" i="9"/>
  <c r="D15" i="53"/>
  <c r="B31" i="72"/>
  <c r="D13" i="53"/>
  <c r="E14" i="74"/>
  <c r="B5" i="74"/>
  <c r="F14" i="74"/>
  <c r="D52" i="9"/>
  <c r="C78" i="9"/>
  <c r="C73" i="9"/>
  <c r="C72" i="9"/>
  <c r="C64" i="9"/>
  <c r="C63" i="9"/>
  <c r="D6" i="53"/>
  <c r="B22" i="72"/>
  <c r="D5" i="74"/>
  <c r="C5" i="74"/>
  <c r="D14" i="53"/>
  <c r="B32" i="72"/>
  <c r="B30" i="72"/>
  <c r="G14" i="74"/>
  <c r="B6" i="74"/>
  <c r="D123" i="9"/>
  <c r="D9" i="52"/>
  <c r="D8" i="52"/>
  <c r="C67" i="9"/>
  <c r="C68" i="9"/>
  <c r="D54" i="9"/>
  <c r="C79" i="9"/>
  <c r="C80" i="9"/>
  <c r="C81" i="9"/>
  <c r="D6" i="74"/>
  <c r="C6" i="74"/>
  <c r="E96" i="9"/>
  <c r="E97" i="9"/>
  <c r="E80" i="9"/>
  <c r="E81" i="9"/>
  <c r="P57" i="9"/>
  <c r="N58"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<sst xmlns="http://schemas.openxmlformats.org/spreadsheetml/2006/main" count="10546" uniqueCount="3844">
  <si>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</si>
  <si>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</si>
  <si>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</si>
  <si>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</si>
  <si>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</si>
  <si>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</si>
  <si>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</si>
  <si>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</si>
  <si>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</si>
  <si>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</si>
  <si>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</si>
  <si>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</si>
  <si>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</si>
  <si>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</si>
  <si>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</si>
  <si>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</si>
  <si>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</si>
  <si>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</si>
  <si>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</si>
  <si>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</si>
  <si>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</si>
  <si>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</si>
  <si>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</si>
  <si>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</si>
  <si>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</si>
  <si>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</si>
  <si>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</si>
  <si>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</si>
  <si>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</si>
  <si>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</si>
  <si>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</si>
  <si>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</si>
  <si>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</si>
  <si>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</si>
  <si>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</si>
  <si>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</si>
  <si>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</si>
  <si>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</si>
  <si>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</si>
  <si>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</si>
  <si>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</si>
  <si>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</si>
  <si>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</si>
  <si>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</si>
  <si>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</si>
  <si>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</si>
  <si>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</si>
  <si>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</si>
  <si>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</si>
  <si>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</si>
  <si>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</si>
  <si>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</si>
  <si>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</si>
  <si>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</si>
  <si>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</si>
  <si>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</si>
  <si>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</si>
  <si>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</si>
  <si>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</si>
  <si>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</si>
  <si>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</si>
  <si>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</si>
  <si>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</si>
  <si>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</si>
  <si>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</si>
  <si>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</si>
  <si>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</si>
  <si>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</si>
  <si>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</si>
  <si>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</si>
  <si>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</si>
  <si>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</si>
  <si>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</si>
  <si>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</si>
  <si>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</si>
  <si>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</si>
  <si>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</si>
  <si>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</si>
  <si>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</si>
  <si>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</si>
  <si>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</si>
  <si>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</si>
  <si>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</si>
  <si>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</si>
  <si>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</si>
  <si>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</si>
  <si>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</si>
  <si>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</si>
  <si>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</si>
  <si>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</si>
  <si>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</si>
  <si>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</si>
  <si>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</si>
  <si>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</si>
  <si>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</si>
  <si>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</si>
  <si>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</si>
  <si>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</si>
  <si>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</si>
  <si>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</si>
  <si>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</si>
  <si>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</si>
  <si>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</si>
  <si>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</si>
  <si>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</si>
  <si>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</si>
  <si>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</si>
  <si>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</si>
  <si>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</si>
  <si>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</si>
  <si>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</si>
  <si>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</si>
  <si>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</si>
  <si>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</si>
  <si>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</si>
  <si>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</si>
  <si>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</si>
  <si>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</si>
  <si>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</si>
  <si>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</si>
  <si>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</si>
  <si>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</si>
  <si>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</si>
  <si>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</si>
  <si>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</si>
  <si>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</si>
  <si>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</si>
  <si>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</si>
  <si>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</si>
  <si>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</si>
  <si>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</si>
  <si>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</si>
  <si>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</si>
  <si>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</si>
  <si>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</si>
  <si>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</si>
  <si>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</si>
  <si>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</si>
  <si>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</si>
  <si>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</si>
  <si>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</si>
  <si>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</si>
  <si>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</si>
  <si>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</si>
  <si>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</si>
  <si>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</si>
  <si>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</si>
  <si>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</si>
  <si>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</si>
  <si>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</si>
  <si>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</si>
  <si>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</si>
  <si>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</si>
  <si>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</si>
  <si>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</si>
  <si>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</si>
  <si>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</si>
  <si>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</si>
  <si>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</si>
  <si>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</si>
  <si>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</si>
  <si>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</si>
  <si>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</si>
  <si>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</si>
  <si>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</si>
  <si>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</si>
  <si>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</si>
  <si>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</si>
  <si>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</si>
  <si>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</si>
  <si>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</si>
  <si>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</si>
  <si>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</si>
  <si>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</si>
  <si>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</si>
  <si>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</si>
  <si>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</si>
  <si>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</si>
  <si>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</si>
  <si>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</si>
  <si>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</si>
  <si>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</si>
  <si>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</si>
  <si>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</si>
  <si>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</si>
  <si>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</si>
  <si>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</si>
  <si>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</si>
  <si>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</si>
  <si>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</si>
  <si>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</si>
  <si>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</si>
  <si>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</si>
  <si>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</si>
  <si>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</si>
  <si>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</si>
  <si>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</si>
  <si>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</si>
  <si>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</si>
  <si>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</si>
  <si>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</si>
  <si>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</si>
  <si>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</si>
  <si>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</si>
  <si>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</si>
  <si>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</si>
  <si>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</si>
  <si>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</si>
  <si>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</si>
  <si>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</si>
  <si>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</si>
  <si>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</si>
  <si>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</si>
  <si>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</si>
  <si>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</si>
  <si>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</si>
  <si>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</si>
  <si>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</si>
  <si>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</si>
  <si>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</si>
  <si>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</si>
  <si>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</si>
  <si>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</si>
  <si>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</si>
  <si>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</si>
  <si>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</si>
  <si>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</si>
  <si>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</si>
  <si>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</si>
  <si>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</si>
  <si>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</si>
  <si>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</si>
  <si>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</si>
  <si>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</si>
  <si>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</si>
  <si>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</si>
  <si>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</si>
  <si>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</si>
  <si>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</si>
  <si>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</si>
  <si>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</si>
  <si>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</si>
  <si>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</si>
  <si>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</si>
  <si>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</si>
  <si>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</si>
  <si>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</si>
  <si>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</si>
  <si>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</si>
  <si>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</si>
  <si>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</si>
  <si>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</si>
  <si>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</si>
  <si>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</si>
  <si>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</si>
  <si>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</si>
  <si>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</si>
  <si>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</si>
  <si>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</si>
  <si>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</si>
  <si>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</si>
  <si>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</si>
  <si>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</si>
  <si>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</si>
  <si>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</si>
  <si>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</si>
  <si>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</si>
  <si>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</si>
  <si>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</si>
  <si>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</si>
  <si>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</si>
  <si>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</si>
  <si>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</si>
  <si>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</si>
  <si>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</si>
  <si>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</si>
  <si>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</si>
  <si>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</si>
  <si>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</si>
  <si>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</si>
  <si>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</si>
  <si>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</si>
  <si>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</si>
  <si>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</si>
  <si>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</si>
  <si>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</si>
  <si>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</si>
  <si>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</si>
  <si>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</si>
  <si>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</si>
  <si>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</si>
  <si>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</si>
  <si>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</si>
  <si>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</si>
  <si>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</si>
  <si>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</si>
  <si>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</si>
  <si>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</si>
  <si>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</si>
  <si>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</si>
  <si>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</si>
  <si>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</si>
  <si>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</si>
  <si>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</si>
  <si>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</si>
  <si>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</si>
  <si>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</si>
  <si>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</si>
  <si>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</si>
  <si>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</si>
  <si>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</si>
  <si>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</si>
  <si>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</si>
  <si>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</si>
  <si>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</si>
  <si>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</si>
  <si>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</si>
  <si>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</si>
  <si>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</si>
  <si>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</si>
  <si>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</si>
  <si>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</si>
  <si>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</si>
  <si>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</si>
  <si>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</si>
  <si>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</si>
  <si>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</si>
  <si>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</si>
  <si>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</si>
  <si>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</si>
  <si>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</si>
  <si>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</si>
  <si>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</si>
  <si>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</si>
  <si>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</si>
  <si>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</si>
  <si>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</si>
  <si>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</si>
  <si>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</si>
  <si>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</si>
  <si>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</si>
  <si>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</si>
  <si>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</si>
  <si>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</si>
  <si>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</si>
  <si>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</si>
  <si>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</si>
  <si>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</si>
  <si>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</si>
  <si>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</si>
  <si>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</si>
  <si>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</si>
  <si>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</si>
  <si>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</si>
  <si>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</si>
  <si>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</si>
  <si>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</si>
  <si>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</si>
  <si>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</si>
  <si>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</si>
  <si>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</si>
  <si>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</si>
  <si>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</si>
  <si>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</si>
  <si>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</si>
  <si>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</si>
  <si>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</si>
  <si>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</si>
  <si>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</si>
  <si>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</si>
  <si>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</si>
  <si>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</si>
  <si>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</si>
  <si>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</si>
  <si>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</si>
  <si>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</si>
  <si>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</si>
  <si>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</si>
  <si>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</si>
  <si>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</si>
  <si>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</si>
  <si>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</si>
  <si>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</si>
  <si>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</si>
  <si>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</si>
  <si>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</si>
  <si>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</si>
  <si>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</si>
  <si>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</si>
  <si>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</si>
  <si>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</si>
  <si>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</si>
  <si>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</si>
  <si>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</si>
  <si>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</si>
  <si>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</si>
  <si>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</si>
  <si>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</si>
  <si>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</si>
  <si>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</si>
  <si>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</si>
  <si>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</si>
  <si>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</si>
  <si>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</si>
  <si>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</si>
  <si>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</si>
  <si>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</si>
  <si>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</si>
  <si>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</si>
  <si>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</si>
  <si>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</si>
  <si>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</si>
  <si>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</si>
  <si>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</si>
  <si>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</si>
  <si>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</si>
  <si>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</si>
  <si>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</si>
  <si>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</si>
  <si>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</si>
  <si>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</si>
  <si>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</si>
  <si>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</si>
  <si>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</si>
  <si>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</si>
  <si>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</si>
  <si>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</si>
  <si>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</si>
  <si>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</si>
  <si>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</si>
  <si>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</si>
  <si>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</si>
  <si>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</si>
  <si>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</si>
  <si>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</si>
  <si>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</si>
  <si>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</si>
  <si>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</si>
  <si>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</si>
  <si>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</si>
  <si>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</si>
  <si>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</si>
  <si>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</si>
  <si>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</si>
  <si>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</si>
  <si>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</si>
  <si>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</si>
  <si>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</si>
  <si>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</si>
  <si>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</si>
  <si>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</si>
  <si>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</si>
  <si>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</si>
  <si>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</si>
  <si>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</si>
  <si>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</si>
  <si>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</si>
  <si>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</si>
  <si>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</si>
  <si>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</si>
  <si>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</si>
  <si>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</si>
  <si>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</si>
  <si>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</si>
  <si>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</si>
  <si>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</si>
  <si>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</si>
  <si>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</si>
  <si>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</si>
  <si>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</si>
  <si>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</si>
  <si>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</si>
  <si>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</si>
  <si>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</si>
  <si>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</si>
  <si>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</si>
  <si>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</si>
  <si>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</si>
  <si>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</si>
  <si>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</si>
  <si>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</si>
  <si>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</si>
  <si>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</si>
  <si>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</si>
  <si>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</si>
  <si>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</si>
  <si>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</si>
  <si>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</si>
  <si>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</si>
  <si>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</si>
  <si>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</si>
  <si>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</si>
  <si>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</si>
  <si>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</si>
  <si>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</si>
  <si>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</si>
  <si>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</si>
  <si>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</si>
  <si>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</si>
  <si>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</si>
  <si>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</si>
  <si>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</si>
  <si>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</si>
  <si>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</si>
  <si>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</si>
  <si>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</si>
  <si>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</si>
  <si>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</si>
  <si>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</si>
  <si>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</si>
  <si>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</si>
  <si>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</si>
  <si>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</si>
  <si>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</si>
  <si>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</si>
  <si>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</si>
  <si>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</si>
  <si>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</si>
  <si>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</si>
  <si>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</si>
  <si>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</si>
  <si>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</si>
  <si>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</si>
  <si>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</si>
  <si>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</si>
  <si>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</si>
  <si>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</si>
  <si>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</si>
  <si>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</si>
  <si>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</si>
  <si>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</si>
  <si>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</si>
  <si>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</si>
  <si>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</si>
  <si>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</si>
  <si>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</si>
  <si>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</si>
  <si>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</si>
  <si>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</si>
  <si>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</si>
  <si>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</si>
  <si>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</si>
  <si>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</si>
  <si>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</si>
  <si>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</si>
  <si>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</si>
  <si>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</si>
  <si>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</si>
  <si>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</si>
  <si>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</si>
  <si>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</si>
  <si>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</si>
  <si>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</si>
  <si>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</si>
  <si>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</si>
  <si>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</si>
  <si>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</si>
  <si>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</si>
  <si>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</si>
  <si>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</si>
  <si>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</si>
  <si>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</si>
  <si>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</si>
  <si>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</si>
  <si>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</si>
  <si>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</si>
  <si>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</si>
  <si>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</si>
  <si>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</si>
  <si>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</si>
  <si>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</si>
  <si>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</si>
  <si>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</si>
  <si>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</si>
  <si>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</si>
  <si>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</si>
  <si>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</si>
  <si>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</si>
  <si>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</si>
  <si>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</si>
  <si>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</si>
  <si>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</si>
  <si>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</si>
  <si>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</si>
  <si>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</si>
  <si>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</si>
  <si>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</si>
  <si>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</si>
  <si>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</si>
  <si>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</si>
  <si>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</si>
  <si>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</si>
  <si>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</si>
  <si>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</si>
  <si>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</si>
  <si>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</si>
  <si>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</si>
  <si>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</si>
  <si>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</si>
  <si>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</si>
  <si>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</si>
  <si>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</si>
  <si>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</si>
  <si>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</si>
  <si>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</si>
  <si>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</si>
  <si>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</si>
  <si>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</si>
  <si>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</si>
  <si>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</si>
  <si>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</si>
  <si>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</si>
  <si>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</si>
  <si>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</si>
  <si>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</si>
  <si>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</si>
  <si>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</si>
  <si>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</si>
  <si>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</si>
  <si>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</si>
  <si>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</si>
  <si>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</si>
  <si>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</si>
  <si>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</si>
  <si>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</si>
  <si>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</si>
  <si>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</si>
  <si>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</si>
  <si>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</si>
  <si>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</si>
  <si>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</si>
  <si>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</si>
  <si>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</si>
  <si>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</si>
  <si>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</si>
  <si>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</si>
  <si>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</si>
  <si>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</si>
  <si>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</si>
  <si>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</si>
  <si>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</si>
  <si>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</si>
  <si>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</si>
  <si>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</si>
  <si>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</si>
  <si>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</si>
  <si>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</si>
  <si>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</si>
  <si>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</si>
  <si>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</si>
  <si>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</si>
  <si>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</si>
  <si>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</si>
  <si>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</si>
  <si>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</si>
  <si>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</si>
  <si>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</si>
  <si>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</si>
  <si>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</si>
  <si>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</si>
  <si>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</si>
  <si>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</si>
  <si>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</si>
  <si>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</si>
  <si>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</si>
  <si>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</si>
  <si>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</si>
  <si>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</si>
  <si>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</si>
  <si>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</si>
  <si>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</si>
  <si>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</si>
  <si>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</si>
  <si>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</si>
  <si>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</si>
  <si>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</si>
  <si>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</si>
  <si>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</si>
  <si>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</si>
  <si>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</si>
  <si>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</si>
  <si>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</si>
  <si>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</si>
  <si>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</si>
  <si>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</si>
  <si>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</si>
  <si>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</si>
  <si>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</si>
  <si>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</si>
  <si>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</si>
  <si>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</si>
  <si>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</si>
  <si>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</si>
  <si>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</si>
  <si>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</si>
  <si>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</si>
  <si>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</si>
  <si>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</si>
  <si>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</si>
  <si>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</si>
  <si>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</si>
  <si>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</si>
  <si>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</si>
  <si>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</si>
  <si>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</si>
  <si>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</si>
  <si>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</si>
  <si>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</si>
  <si>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</si>
  <si>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</si>
  <si>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</si>
  <si>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</si>
  <si>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</si>
  <si>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</si>
  <si>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</si>
  <si>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</si>
  <si>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</si>
  <si>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</si>
  <si>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</si>
  <si>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</si>
  <si>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</si>
  <si>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</si>
  <si>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</si>
  <si>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</si>
  <si>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</si>
  <si>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</si>
  <si>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</si>
  <si>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</si>
  <si>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</si>
  <si>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</si>
  <si>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</si>
  <si>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</si>
  <si>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</si>
  <si>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</si>
  <si>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</si>
  <si>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</si>
  <si>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</si>
  <si>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</si>
  <si>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</si>
  <si>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</si>
  <si>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</si>
  <si>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</si>
  <si>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</si>
  <si>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</si>
  <si>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</si>
  <si>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</si>
  <si>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</si>
  <si>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</si>
  <si>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</si>
  <si>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</si>
  <si>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</si>
  <si>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</si>
  <si>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</si>
  <si>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</si>
  <si>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</si>
  <si>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</si>
  <si>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</si>
  <si>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</si>
  <si>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</si>
  <si>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</si>
  <si>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</si>
  <si>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</si>
  <si>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</si>
  <si>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</si>
  <si>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</si>
  <si>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</si>
  <si>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</si>
  <si>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</si>
  <si>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</si>
  <si>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</si>
  <si>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</si>
  <si>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</si>
  <si>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</si>
  <si>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</si>
  <si>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</si>
  <si>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</si>
  <si>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</si>
  <si>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</si>
  <si>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</si>
  <si>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</si>
  <si>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</si>
  <si>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</si>
  <si>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</si>
  <si>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</si>
  <si>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</si>
  <si>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</si>
  <si>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</si>
  <si>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</si>
  <si>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</si>
  <si>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</si>
  <si>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</si>
  <si>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</si>
  <si>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</si>
  <si>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</si>
  <si>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</si>
  <si>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</si>
  <si>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</si>
  <si>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</si>
  <si>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</si>
  <si>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</si>
  <si>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</si>
  <si>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</si>
  <si>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</si>
  <si>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</si>
  <si>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</si>
  <si>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</si>
  <si>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</si>
  <si>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</si>
  <si>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</si>
  <si>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</si>
  <si>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</si>
  <si>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</si>
  <si>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</si>
  <si>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</si>
  <si>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</si>
  <si>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</si>
  <si>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</si>
  <si>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</si>
  <si>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</si>
  <si>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</si>
  <si>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</si>
  <si>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</si>
  <si>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</si>
  <si>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</si>
  <si>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</si>
  <si>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</si>
  <si>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</si>
  <si>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</si>
  <si>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</si>
  <si>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</si>
  <si>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</si>
  <si>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</si>
  <si>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</si>
  <si>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</si>
  <si>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</si>
  <si>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</si>
  <si>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</si>
  <si>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</si>
  <si>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</si>
  <si>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</si>
  <si>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</si>
  <si>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</si>
  <si>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</si>
  <si>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</si>
  <si>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</si>
  <si>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</si>
  <si>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</si>
  <si>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</si>
  <si>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</si>
  <si>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</si>
  <si>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</si>
  <si>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</si>
  <si>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</si>
  <si>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</si>
  <si>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</si>
  <si>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</si>
  <si>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</si>
  <si>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</si>
  <si>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</si>
  <si>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</si>
  <si>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</si>
  <si>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</si>
  <si>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</si>
  <si>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</si>
  <si>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</si>
  <si>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</si>
  <si>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</si>
  <si>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</si>
  <si>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</si>
  <si>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</si>
  <si>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</si>
  <si>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</si>
  <si>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</si>
  <si>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</si>
  <si>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</si>
  <si>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</si>
  <si>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</si>
  <si>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</si>
  <si>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</si>
  <si>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</si>
  <si>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</si>
  <si>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</si>
  <si>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</si>
  <si>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</si>
  <si>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</si>
  <si>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</si>
  <si>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</si>
  <si>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</si>
  <si>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</si>
  <si>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</si>
  <si>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</si>
  <si>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</si>
  <si>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</si>
  <si>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</si>
  <si>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</si>
  <si>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</si>
  <si>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</si>
  <si>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</si>
  <si>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</si>
  <si>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</si>
  <si>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</si>
  <si>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</si>
  <si>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</si>
  <si>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</si>
  <si>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</si>
  <si>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</si>
  <si>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</si>
  <si>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</si>
  <si>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</si>
  <si>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</si>
  <si>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</si>
  <si>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</si>
  <si>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</si>
  <si>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</si>
  <si>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</si>
  <si>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</si>
  <si>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</si>
  <si>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</si>
  <si>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</si>
  <si>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</si>
  <si>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</si>
  <si>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</si>
  <si>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</si>
  <si>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</si>
  <si>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</si>
  <si>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</si>
  <si>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</si>
  <si>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</si>
  <si>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</si>
  <si>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</si>
  <si>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</si>
  <si>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</si>
  <si>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</si>
  <si>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</si>
  <si>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</si>
  <si>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</si>
  <si>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</si>
  <si>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</si>
  <si>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</si>
  <si>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</si>
  <si>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</si>
  <si>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</si>
  <si>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</si>
  <si>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</si>
  <si>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</si>
  <si>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</si>
  <si>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</si>
  <si>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</si>
  <si>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</si>
  <si>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</si>
  <si>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</si>
  <si>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</si>
  <si>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</si>
  <si>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</si>
  <si>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</si>
  <si>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</si>
  <si>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</si>
  <si>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</si>
  <si>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</si>
  <si>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</si>
  <si>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</si>
  <si>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</si>
  <si>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</si>
  <si>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</si>
  <si>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</si>
  <si>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</si>
  <si>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</si>
  <si>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</si>
  <si>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</si>
  <si>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</si>
  <si>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</si>
  <si>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</si>
  <si>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</si>
  <si>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</si>
  <si>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</si>
  <si>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</si>
  <si>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</si>
  <si>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</si>
  <si>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</si>
  <si>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</si>
  <si>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</si>
  <si>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</si>
  <si>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</si>
  <si>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</si>
  <si>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</si>
  <si>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</si>
  <si>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</si>
  <si>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</si>
  <si>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</si>
  <si>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</si>
  <si>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</si>
  <si>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</si>
  <si>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</si>
  <si>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</si>
  <si>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</si>
  <si>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</si>
  <si>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</si>
  <si>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</si>
  <si>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</si>
  <si>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</si>
  <si>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</si>
  <si>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</si>
  <si>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</si>
  <si>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</si>
  <si>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</si>
  <si>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</si>
  <si>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</si>
  <si>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</si>
  <si>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</si>
  <si>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</si>
  <si>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</si>
  <si>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</si>
  <si>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</si>
  <si>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</si>
  <si>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</si>
  <si>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</si>
  <si>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</si>
  <si>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</si>
  <si>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</si>
  <si>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</si>
  <si>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</si>
  <si>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</si>
  <si>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</si>
  <si>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</si>
  <si>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</si>
  <si>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</si>
  <si>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</si>
  <si>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</si>
  <si>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</si>
  <si>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</si>
  <si>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</si>
  <si>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</si>
  <si>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</si>
  <si>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</si>
  <si>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</si>
  <si>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</si>
  <si>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</si>
  <si>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</si>
  <si>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</si>
  <si>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</si>
  <si>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</si>
  <si>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</si>
  <si>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</si>
  <si>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</si>
  <si>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</si>
  <si>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</si>
  <si>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</si>
  <si>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</si>
  <si>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</si>
  <si>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</si>
  <si>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</si>
  <si>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</si>
  <si>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</si>
  <si>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</si>
  <si>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</si>
  <si>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</si>
  <si>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</si>
  <si>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</si>
  <si>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</si>
  <si>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</si>
  <si>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</si>
  <si>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</si>
  <si>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</si>
  <si>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</si>
  <si>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</si>
  <si>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</si>
  <si>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</si>
  <si>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</si>
  <si>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</si>
  <si>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</si>
  <si>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</si>
  <si>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</si>
  <si>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</si>
  <si>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</si>
  <si>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</si>
  <si>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</si>
  <si>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</si>
  <si>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</si>
  <si>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</si>
  <si>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</si>
  <si>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</si>
  <si>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</si>
  <si>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</si>
  <si>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</si>
  <si>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</si>
  <si>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</si>
  <si>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</si>
  <si>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</si>
  <si>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</si>
  <si>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</si>
  <si>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</si>
  <si>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</si>
  <si>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</si>
  <si>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</si>
  <si>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</si>
  <si>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</si>
  <si>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</si>
  <si>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</si>
  <si>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</si>
  <si>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</si>
  <si>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</si>
  <si>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</si>
  <si>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</si>
  <si>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</si>
  <si>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</si>
  <si>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</si>
  <si>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</si>
  <si>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</si>
  <si>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</si>
  <si>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</si>
  <si>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</si>
  <si>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</si>
  <si>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</si>
  <si>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</si>
  <si>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</si>
  <si>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</si>
  <si>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</si>
  <si>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</si>
  <si>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</si>
  <si>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</si>
  <si>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</si>
  <si>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</si>
  <si>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</si>
  <si>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</si>
  <si>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</si>
  <si>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</si>
  <si>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</si>
  <si>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</si>
  <si>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</si>
  <si>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</si>
  <si>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</si>
  <si>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</si>
  <si>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</si>
  <si>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</si>
  <si>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</si>
  <si>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</si>
  <si>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</si>
  <si>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</si>
  <si>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</si>
  <si>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</si>
  <si>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</si>
  <si>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</si>
  <si>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</si>
  <si>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</si>
  <si>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</si>
  <si>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</si>
  <si>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</si>
  <si>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</si>
  <si>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</si>
  <si>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</si>
  <si>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</si>
  <si>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</si>
  <si>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</si>
  <si>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</si>
  <si>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</si>
  <si>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</si>
  <si>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</si>
  <si>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</si>
  <si>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</si>
  <si>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</si>
  <si>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</si>
  <si>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</si>
  <si>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</si>
  <si>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</si>
  <si>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</si>
  <si>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</si>
  <si>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</si>
  <si>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</si>
  <si>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</si>
  <si>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</si>
  <si>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</si>
  <si>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</si>
  <si>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</si>
  <si>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</si>
  <si>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</si>
  <si>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</si>
  <si>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</si>
  <si>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</si>
  <si>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</si>
  <si>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</si>
  <si>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</si>
  <si>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</si>
  <si>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</si>
  <si>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</si>
  <si>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</si>
  <si>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</si>
  <si>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</si>
  <si>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</si>
  <si>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</si>
  <si>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</si>
  <si>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</si>
  <si>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</si>
  <si>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</si>
  <si>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</si>
  <si>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</si>
  <si>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</si>
  <si>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</si>
  <si>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</si>
  <si>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</si>
  <si>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</si>
  <si>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</si>
  <si>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</si>
  <si>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</si>
  <si>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</si>
  <si>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</si>
  <si>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</si>
  <si>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</si>
  <si>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</si>
  <si>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</si>
  <si>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</si>
  <si>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</si>
  <si>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</si>
  <si>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</si>
  <si>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</si>
  <si>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</si>
  <si>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</si>
  <si>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</si>
  <si>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</si>
  <si>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</si>
  <si>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</si>
  <si>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</si>
  <si>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</si>
  <si>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</si>
  <si>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</si>
  <si>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</si>
  <si>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</si>
  <si>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</si>
  <si>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</si>
  <si>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</si>
  <si>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</si>
  <si>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</si>
  <si>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</si>
  <si>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</si>
  <si>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</si>
  <si>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</si>
  <si>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</si>
  <si>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</si>
  <si>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</si>
  <si>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</si>
  <si>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</si>
  <si>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</si>
  <si>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</si>
  <si>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</si>
  <si>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</si>
  <si>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</si>
  <si>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</si>
  <si>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</si>
  <si>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</si>
  <si>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</si>
  <si>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</si>
  <si>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</si>
  <si>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</si>
  <si>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</si>
  <si>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</si>
  <si>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</si>
  <si>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</si>
  <si>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</si>
  <si>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</si>
  <si>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</si>
  <si>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</si>
  <si>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</si>
  <si>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</si>
  <si>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</si>
  <si>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</si>
  <si>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</si>
  <si>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</si>
  <si>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</si>
  <si>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</si>
  <si>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</si>
  <si>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</si>
  <si>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</si>
  <si>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</si>
  <si>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</si>
  <si>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</si>
  <si>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</si>
  <si>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</si>
  <si>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</si>
  <si>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</si>
  <si>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</si>
  <si>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</si>
  <si>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</si>
  <si>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</si>
  <si>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</si>
  <si>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</si>
  <si>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</si>
  <si>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</si>
  <si>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</si>
  <si>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</si>
  <si>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</si>
  <si>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</si>
  <si>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</si>
  <si>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</si>
  <si>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</si>
  <si>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</si>
  <si>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</si>
  <si>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</si>
  <si>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</si>
  <si>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</si>
  <si>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</si>
  <si>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</si>
  <si>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</si>
  <si>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</si>
  <si>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</si>
  <si>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</si>
  <si>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</si>
  <si>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</si>
  <si>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</si>
  <si>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</si>
  <si>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</si>
  <si>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</si>
  <si>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</si>
  <si>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</si>
  <si>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</si>
  <si>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</si>
  <si>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</si>
  <si>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</si>
  <si>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</si>
  <si>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</si>
  <si>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</si>
  <si>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</si>
  <si>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</si>
  <si>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</si>
  <si>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</si>
  <si>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</si>
  <si>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</si>
  <si>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</si>
  <si>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</si>
  <si>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</si>
  <si>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</si>
  <si>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</si>
  <si>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</si>
  <si>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</si>
  <si>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</si>
  <si>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</si>
  <si>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</si>
  <si>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</si>
  <si>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</si>
  <si>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</si>
  <si>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</si>
  <si>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</si>
  <si>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</si>
  <si>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</si>
  <si>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</si>
  <si>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</si>
  <si>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</si>
  <si>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</si>
  <si>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</si>
  <si>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</si>
  <si>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</si>
  <si>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</si>
  <si>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</si>
  <si>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</si>
  <si>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</si>
  <si>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</si>
  <si>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</si>
  <si>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</si>
  <si>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</si>
  <si>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</si>
  <si>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</si>
  <si>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</si>
  <si>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</si>
  <si>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</si>
  <si>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</si>
  <si>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</si>
  <si>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</si>
  <si>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</si>
  <si>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</si>
  <si>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</si>
  <si>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</si>
  <si>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</si>
  <si>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</si>
  <si>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</si>
  <si>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</si>
  <si>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</si>
  <si>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</si>
  <si>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</si>
  <si>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</si>
  <si>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</si>
  <si>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</si>
  <si>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</si>
  <si>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</si>
  <si>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</si>
  <si>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</si>
  <si>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</si>
  <si>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</si>
  <si>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</si>
  <si>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</si>
  <si>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</si>
  <si>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</si>
  <si>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</si>
  <si>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</si>
  <si>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</si>
  <si>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</si>
  <si>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</si>
  <si>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</si>
  <si>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</si>
  <si>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</si>
  <si>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</si>
  <si>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</si>
  <si>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</si>
  <si>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</si>
  <si>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</si>
  <si>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</si>
  <si>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</si>
  <si>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</si>
  <si>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</si>
  <si>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</si>
  <si>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</si>
  <si>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</si>
  <si>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</si>
  <si>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</si>
  <si>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</si>
  <si>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</si>
  <si>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</si>
  <si>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</si>
  <si>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</si>
  <si>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</si>
  <si>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</si>
  <si>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</si>
  <si>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</si>
  <si>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</si>
  <si>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</si>
  <si>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</si>
  <si>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</si>
  <si>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</si>
  <si>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</si>
  <si>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</si>
  <si>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</si>
  <si>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</si>
  <si>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</si>
  <si>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</si>
  <si>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</si>
  <si>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</si>
  <si>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</si>
  <si>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</si>
  <si>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</si>
  <si>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</si>
  <si>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</si>
  <si>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</si>
  <si>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</si>
  <si>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</si>
  <si>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</si>
  <si>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</si>
  <si>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</si>
  <si>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</si>
  <si>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</si>
  <si>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</si>
  <si>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</si>
  <si>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</si>
  <si>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</si>
  <si>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</si>
  <si>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</si>
  <si>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</si>
  <si>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</si>
  <si>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</si>
  <si>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</si>
  <si>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</si>
  <si>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</si>
  <si>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</si>
  <si>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</si>
  <si>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</si>
  <si>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</si>
  <si>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</si>
  <si>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</si>
  <si>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</si>
  <si>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</si>
  <si>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</si>
  <si>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</si>
  <si>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</si>
  <si>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</si>
  <si>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</si>
  <si>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</si>
  <si>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</si>
  <si>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</si>
  <si>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</si>
  <si>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</si>
  <si>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</si>
  <si>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</si>
  <si>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</si>
  <si>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</si>
  <si>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</si>
  <si>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</si>
  <si>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</si>
  <si>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</si>
  <si>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</si>
  <si>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</si>
  <si>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</si>
  <si>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</si>
  <si>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</si>
  <si>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</si>
  <si>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</si>
  <si>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</si>
  <si>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</si>
  <si>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</si>
  <si>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</si>
  <si>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</si>
  <si>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</si>
  <si>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</si>
  <si>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</si>
  <si>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</si>
  <si>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</si>
  <si>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</si>
  <si>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</si>
  <si>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</si>
  <si>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</si>
  <si>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</si>
  <si>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</si>
  <si>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</si>
  <si>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</si>
  <si>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</si>
  <si>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</si>
  <si>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</si>
  <si>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</si>
  <si>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</si>
  <si>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</si>
  <si>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</si>
  <si>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</si>
  <si>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</si>
  <si>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</si>
  <si>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</si>
  <si>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</si>
  <si>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</si>
  <si>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</si>
  <si>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</si>
  <si>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</si>
  <si>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</si>
  <si>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</si>
  <si>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</si>
  <si>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</si>
  <si>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</si>
  <si>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</si>
  <si>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</si>
  <si>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</si>
  <si>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</si>
  <si>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</si>
  <si>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</si>
  <si>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</si>
  <si>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</si>
  <si>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</si>
  <si>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</si>
  <si>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</si>
  <si>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</si>
  <si>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</si>
  <si>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</si>
  <si>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</si>
  <si>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</si>
  <si>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</si>
  <si>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</si>
  <si>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</si>
  <si>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</si>
  <si>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</si>
  <si>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</si>
  <si>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</si>
  <si>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</si>
  <si>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</si>
  <si>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</si>
  <si>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</si>
  <si>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</si>
  <si>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</si>
  <si>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</si>
  <si>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</si>
  <si>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</si>
  <si>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</si>
  <si>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</si>
  <si>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</si>
  <si>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</si>
  <si>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</si>
  <si>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</si>
  <si>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</si>
  <si>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</si>
  <si>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</si>
  <si>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</si>
  <si>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</si>
  <si>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</si>
  <si>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</si>
  <si>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</si>
  <si>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</si>
  <si>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</si>
  <si>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</si>
  <si>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</si>
  <si>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</si>
  <si>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</si>
  <si>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</si>
  <si>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</si>
  <si>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</si>
  <si>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</si>
  <si>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</si>
  <si>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</si>
  <si>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</si>
  <si>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</si>
  <si>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</si>
  <si>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</si>
  <si>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</si>
  <si>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</si>
  <si>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</si>
  <si>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</si>
  <si>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</si>
  <si>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</si>
  <si>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</si>
  <si>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</si>
  <si>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</si>
  <si>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</si>
  <si>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</si>
  <si>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</si>
  <si>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</si>
  <si>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</si>
  <si>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</si>
  <si>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</si>
  <si>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</si>
  <si>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</si>
  <si>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</si>
  <si>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</si>
  <si>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</si>
  <si>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</si>
  <si>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</si>
  <si>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</si>
  <si>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</si>
  <si>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</si>
  <si>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</si>
  <si>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</si>
  <si>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</si>
  <si>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</si>
  <si>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</si>
  <si>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</si>
  <si>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</si>
  <si>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</si>
  <si>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</si>
  <si>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</si>
  <si>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</si>
  <si>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</si>
  <si>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</si>
  <si>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</si>
  <si>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</si>
  <si>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</si>
  <si>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</si>
  <si>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</si>
  <si>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</si>
  <si>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</si>
  <si>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</si>
  <si>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</si>
  <si>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</si>
  <si>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</si>
  <si>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</si>
  <si>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</si>
  <si>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</si>
  <si>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</si>
  <si>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</si>
  <si>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</si>
  <si>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</si>
  <si>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</si>
  <si>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</si>
  <si>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</si>
  <si>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</si>
  <si>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</si>
  <si>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</si>
  <si>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</si>
  <si>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</si>
  <si>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</si>
  <si>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</si>
  <si>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</si>
  <si>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</si>
  <si>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</si>
  <si>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</si>
  <si>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</si>
  <si>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</si>
  <si>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</si>
  <si>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</si>
  <si>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</si>
  <si>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</si>
  <si>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</si>
  <si>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</si>
  <si>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</si>
  <si>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</si>
  <si>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</si>
  <si>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</si>
  <si>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</si>
  <si>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</si>
  <si>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</si>
  <si>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</si>
  <si>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</si>
  <si>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</si>
  <si>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</si>
  <si>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</si>
  <si>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</si>
  <si>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</si>
  <si>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</si>
  <si>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</si>
  <si>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</si>
  <si>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</si>
  <si>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</si>
  <si>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</si>
  <si>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</si>
  <si>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</si>
  <si>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</si>
  <si>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</si>
  <si>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</si>
  <si>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</si>
  <si>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</si>
  <si>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</si>
  <si>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</si>
  <si>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</si>
  <si>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</si>
  <si>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</si>
  <si>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</si>
  <si>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</si>
  <si>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</si>
  <si>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</si>
  <si>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</si>
  <si>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</si>
  <si>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</si>
  <si>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</si>
  <si>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</si>
  <si>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</si>
  <si>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</si>
  <si>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</si>
  <si>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</si>
  <si>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</si>
  <si>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</si>
  <si>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</si>
  <si>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</si>
  <si>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</si>
  <si>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</si>
  <si>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</si>
  <si>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</si>
  <si>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</si>
  <si>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</si>
  <si>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</si>
  <si>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</si>
  <si>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</si>
  <si>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</si>
  <si>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</si>
  <si>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</si>
  <si>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</si>
  <si>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</si>
  <si>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</si>
  <si>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</si>
  <si>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</si>
  <si>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</si>
  <si>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</si>
  <si>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</si>
  <si>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</si>
  <si>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</si>
  <si>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</si>
  <si>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</si>
  <si>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</si>
  <si>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</si>
  <si>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</si>
  <si>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</si>
  <si>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</si>
  <si>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</si>
  <si>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</si>
  <si>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</si>
  <si>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</si>
  <si>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</si>
  <si>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</si>
  <si>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</si>
  <si>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</si>
  <si>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</si>
  <si>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</si>
  <si>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</si>
  <si>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</si>
  <si>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</si>
  <si>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</si>
  <si>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</si>
  <si>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</si>
  <si>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</si>
  <si>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</si>
  <si>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</si>
  <si>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</si>
  <si>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</si>
  <si>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</si>
  <si>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</si>
  <si>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</si>
  <si>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</si>
  <si>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</si>
  <si>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</si>
  <si>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</si>
  <si>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</si>
  <si>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</si>
  <si>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</si>
  <si>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</si>
  <si>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</si>
  <si>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</si>
  <si>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</si>
  <si>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</si>
  <si>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</si>
  <si>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</si>
  <si>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</si>
  <si>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</si>
  <si>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</si>
  <si>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</si>
  <si>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</si>
  <si>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</si>
  <si>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</si>
  <si>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</si>
  <si>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</si>
  <si>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</si>
  <si>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</si>
  <si>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</si>
  <si>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</si>
  <si>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</si>
  <si>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</si>
  <si>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</si>
  <si>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</si>
  <si>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</si>
  <si>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</si>
  <si>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</si>
  <si>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</si>
  <si>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</si>
  <si>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</si>
  <si>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</si>
  <si>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</si>
  <si>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</si>
  <si>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</si>
  <si>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</si>
  <si>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</si>
  <si>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</si>
  <si>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</si>
  <si>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</si>
  <si>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</si>
  <si>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</si>
  <si>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</si>
  <si>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</si>
  <si>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</si>
  <si>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</si>
  <si>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</si>
  <si>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</si>
  <si>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</si>
  <si>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</si>
  <si>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</si>
  <si>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</si>
  <si>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</si>
  <si>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</si>
  <si>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</si>
  <si>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</si>
  <si>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</si>
  <si>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</si>
  <si>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</si>
  <si>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</si>
  <si>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</si>
  <si>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</si>
  <si>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</si>
  <si>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</si>
  <si>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</si>
  <si>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</si>
  <si>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</si>
  <si>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</si>
  <si>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</si>
  <si>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</si>
  <si>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</si>
  <si>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</si>
  <si>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</si>
  <si>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</si>
  <si>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</si>
  <si>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</si>
  <si>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</si>
  <si>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</si>
  <si>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</si>
  <si>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</si>
  <si>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</si>
  <si>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</si>
  <si>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</si>
  <si>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</si>
  <si>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</si>
  <si>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</si>
  <si>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</si>
  <si>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</si>
  <si>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</si>
  <si>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</si>
  <si>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</si>
  <si>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</si>
  <si>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</si>
  <si>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</si>
  <si>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</si>
  <si>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</si>
  <si>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</si>
  <si>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</si>
  <si>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</si>
  <si>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</si>
  <si>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</si>
  <si>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</si>
  <si>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</si>
  <si>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</si>
  <si>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</si>
  <si>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</si>
  <si>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</si>
  <si>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</si>
  <si>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</si>
  <si>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</si>
  <si>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</si>
  <si>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</si>
  <si>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</si>
  <si>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</si>
  <si>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</si>
  <si>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</si>
  <si>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</si>
  <si>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</si>
  <si>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</si>
  <si>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</si>
  <si>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</si>
  <si>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</si>
  <si>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</si>
  <si>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</si>
  <si>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</si>
  <si>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</si>
  <si>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</si>
  <si>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</si>
  <si>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</si>
  <si>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</si>
  <si>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</si>
  <si>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</si>
  <si>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</si>
  <si>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</si>
  <si>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</si>
  <si>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</si>
  <si>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</si>
  <si>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</si>
  <si>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</si>
  <si>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</si>
  <si>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</si>
  <si>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</si>
  <si>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</si>
  <si>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</si>
  <si>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</si>
  <si>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</si>
  <si>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</si>
  <si>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</si>
  <si>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</si>
  <si>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</si>
  <si>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</si>
  <si>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</si>
  <si>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</si>
  <si>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</si>
  <si>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</si>
  <si>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</si>
  <si>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</si>
  <si>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</si>
  <si>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</si>
  <si>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</si>
  <si>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</si>
  <si>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</si>
  <si>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</si>
  <si>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</si>
  <si>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</si>
  <si>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</si>
  <si>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</si>
  <si>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</si>
  <si>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</si>
  <si>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</si>
  <si>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</si>
  <si>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</si>
  <si>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</si>
  <si>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</si>
  <si>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</si>
  <si>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</si>
  <si>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</si>
  <si>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</si>
  <si>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</si>
  <si>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</si>
  <si>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</si>
  <si>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</si>
  <si>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</si>
  <si>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</si>
  <si>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</si>
  <si>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</si>
  <si>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</si>
  <si>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</si>
  <si>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</si>
  <si>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</si>
  <si>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</si>
  <si>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</si>
  <si>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</si>
  <si>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</si>
  <si>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</si>
  <si>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</si>
  <si>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</si>
  <si>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</si>
  <si>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</si>
  <si>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</si>
  <si>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</si>
  <si>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</si>
  <si>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</si>
  <si>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</si>
  <si>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</si>
  <si>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</si>
  <si>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</si>
  <si>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</si>
  <si>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</si>
  <si>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</si>
  <si>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</si>
  <si>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</si>
  <si>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</si>
  <si>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</si>
  <si>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</si>
  <si>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</si>
  <si>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</si>
  <si>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</si>
  <si>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</si>
  <si>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</si>
  <si>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</si>
  <si>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</si>
  <si>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</si>
  <si>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</si>
  <si>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</si>
  <si>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</si>
  <si>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</si>
  <si>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</si>
  <si>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</si>
  <si>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</si>
  <si>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</si>
  <si>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</si>
  <si>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</si>
  <si>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</si>
  <si>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</si>
  <si>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</si>
  <si>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</si>
  <si>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</si>
  <si>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</si>
  <si>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</si>
  <si>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</si>
  <si>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</si>
  <si>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</si>
  <si>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</si>
  <si>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</si>
  <si>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</si>
  <si>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</si>
  <si>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</si>
  <si>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</si>
  <si>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</si>
  <si>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</si>
  <si>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</si>
  <si>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</si>
  <si>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</si>
  <si>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</si>
  <si>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</si>
  <si>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</si>
  <si>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</si>
  <si>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</si>
  <si>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</si>
  <si>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</si>
  <si>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</si>
  <si>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</si>
  <si>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</si>
  <si>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</si>
  <si>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</si>
  <si>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</si>
  <si>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</si>
  <si>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</si>
  <si>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</si>
  <si>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</si>
  <si>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</si>
  <si>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</si>
  <si>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</si>
  <si>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</si>
  <si>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</si>
  <si>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</si>
  <si>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</si>
  <si>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</si>
  <si>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</si>
  <si>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</si>
  <si>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</si>
  <si>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</si>
  <si>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</si>
  <si>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</si>
  <si>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</si>
  <si>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</si>
  <si>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</si>
  <si>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</si>
  <si>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</si>
  <si>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</si>
  <si>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</si>
  <si>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</si>
  <si>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</si>
  <si>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</si>
  <si>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</si>
  <si>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</si>
  <si>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</si>
  <si>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</si>
  <si>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</si>
  <si>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</si>
  <si>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</si>
  <si>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</si>
  <si>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</si>
  <si>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</si>
  <si>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</si>
  <si>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</si>
  <si>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</si>
  <si>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</si>
  <si>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</si>
  <si>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</si>
  <si>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</si>
  <si>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</si>
  <si>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</si>
  <si>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</si>
  <si>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</si>
  <si>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</si>
  <si>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</si>
  <si>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</si>
  <si>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</si>
  <si>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</si>
  <si>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</si>
  <si>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</si>
  <si>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</si>
  <si>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</si>
  <si>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</si>
  <si>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</si>
  <si>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</si>
  <si>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</si>
  <si>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</si>
  <si>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</si>
  <si>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</si>
  <si>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</si>
  <si>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</si>
  <si>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</si>
  <si>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</si>
  <si>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</si>
  <si>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</si>
  <si>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</si>
  <si>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</si>
  <si>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</si>
  <si>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</si>
  <si>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</si>
  <si>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</si>
  <si>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</si>
  <si>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</si>
  <si>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</si>
  <si>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</si>
  <si>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</si>
  <si>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</si>
  <si>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</si>
  <si>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</si>
  <si>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</si>
  <si>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</si>
  <si>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</si>
  <si>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</si>
  <si>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</si>
  <si>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</si>
  <si>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</si>
  <si>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</si>
  <si>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</si>
  <si>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</si>
  <si>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</si>
  <si>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</si>
  <si>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</si>
  <si>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</si>
  <si>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</si>
  <si>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</si>
  <si>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</si>
  <si>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</si>
  <si>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</si>
  <si>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</si>
  <si>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</si>
  <si>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</si>
  <si>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</si>
  <si>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</si>
  <si>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</si>
  <si>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</si>
  <si>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</si>
  <si>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</si>
  <si>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</si>
  <si>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</si>
  <si>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</si>
  <si>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</si>
  <si>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</si>
  <si>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</si>
  <si>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</si>
  <si>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</si>
  <si>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</si>
  <si>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</si>
  <si>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</si>
  <si>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</si>
  <si>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</si>
  <si>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</si>
  <si>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</si>
  <si>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</si>
  <si>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</si>
  <si>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</si>
  <si>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</si>
  <si>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</si>
  <si>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</si>
  <si>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</si>
  <si>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</si>
  <si>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</si>
  <si>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</si>
  <si>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</si>
  <si>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</si>
  <si>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</si>
  <si>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</si>
  <si>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</si>
  <si>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</si>
  <si>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</si>
  <si>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</si>
  <si>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</si>
  <si>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</si>
  <si>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</si>
  <si>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</si>
  <si>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</si>
  <si>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</si>
  <si>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</si>
  <si>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</si>
  <si>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</si>
  <si>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</si>
  <si>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</si>
  <si>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</si>
  <si>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</si>
  <si>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</si>
  <si>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</si>
  <si>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</si>
  <si>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</si>
  <si>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</si>
  <si>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</si>
  <si>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</si>
  <si>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</si>
  <si>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</si>
  <si>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</si>
  <si>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</si>
  <si>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</si>
  <si>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</si>
  <si>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</si>
  <si>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</si>
  <si>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</si>
  <si>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</si>
  <si>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</si>
  <si>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</si>
  <si>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</si>
  <si>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</si>
  <si>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</si>
  <si>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</si>
  <si>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</si>
  <si>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</si>
  <si>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</si>
  <si>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</si>
  <si>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</si>
  <si>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</si>
  <si>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</si>
  <si>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</si>
  <si>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</si>
  <si>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</si>
  <si>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</si>
  <si>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</si>
  <si>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</si>
  <si>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</si>
  <si>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</si>
  <si>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</si>
  <si>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</si>
  <si>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</si>
  <si>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</si>
  <si>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</si>
  <si>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</si>
  <si>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</si>
  <si>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</si>
  <si>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</si>
  <si>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</si>
  <si>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</si>
  <si>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</si>
  <si>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</si>
  <si>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</si>
  <si>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</si>
  <si>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</si>
  <si>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</si>
  <si>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</si>
  <si>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</si>
  <si>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</si>
  <si>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</si>
  <si>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</si>
  <si>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</si>
  <si>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</si>
  <si>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</si>
  <si>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</si>
  <si>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</si>
  <si>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</si>
  <si>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</si>
  <si>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</si>
  <si>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</si>
  <si>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</si>
  <si>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</si>
  <si>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</si>
  <si>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</si>
  <si>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</si>
  <si>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</si>
  <si>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</si>
  <si>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</si>
  <si>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</si>
  <si>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</si>
  <si>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</si>
  <si>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</si>
  <si>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</si>
  <si>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</si>
  <si>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</si>
  <si>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</si>
  <si>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</si>
  <si>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</si>
  <si>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</si>
  <si>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</si>
  <si>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</si>
  <si>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</si>
  <si>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</si>
  <si>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</si>
  <si>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</si>
  <si>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</si>
  <si>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</si>
  <si>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</si>
  <si>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</si>
  <si>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</si>
  <si>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</si>
  <si>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</si>
  <si>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</si>
  <si>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</si>
  <si>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</si>
  <si>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</si>
  <si>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</si>
  <si>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</si>
  <si>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</si>
  <si>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</si>
  <si>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</si>
  <si>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</si>
  <si>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</si>
  <si>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</si>
  <si>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</si>
  <si>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</si>
  <si>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</si>
  <si>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</si>
  <si>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</si>
  <si>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</si>
  <si>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</si>
  <si>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</si>
  <si>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</si>
  <si>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</si>
  <si>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</si>
  <si>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</si>
  <si>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</si>
  <si>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</si>
  <si>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</si>
  <si>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</si>
  <si>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</si>
  <si>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</si>
  <si>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</si>
  <si>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</si>
  <si>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</si>
  <si>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</si>
  <si>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</si>
  <si>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</si>
  <si>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</si>
  <si>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</si>
  <si>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</si>
  <si>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</si>
  <si>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</si>
  <si>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</si>
  <si>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</si>
  <si>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</si>
  <si>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</si>
  <si>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</si>
  <si>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</si>
  <si>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</si>
  <si>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</si>
  <si>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</si>
  <si>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</si>
  <si>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</si>
  <si>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</si>
  <si>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</si>
  <si>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</si>
  <si>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</si>
  <si>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</si>
  <si>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</si>
  <si>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</si>
  <si>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</si>
  <si>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</si>
  <si>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</si>
  <si>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</si>
  <si>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</si>
  <si>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</si>
  <si>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</si>
  <si>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</si>
  <si>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</si>
  <si>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</si>
  <si>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</si>
  <si>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</si>
  <si>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</si>
  <si>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</si>
  <si>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</si>
  <si>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</si>
  <si>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</si>
  <si>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</si>
  <si>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</si>
  <si>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</si>
  <si>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</si>
  <si>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</si>
  <si>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</si>
  <si>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</si>
  <si>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</si>
  <si>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</si>
  <si>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</si>
  <si>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</si>
  <si>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</si>
  <si>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</si>
  <si>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</si>
  <si>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</si>
  <si>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</si>
  <si>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</si>
  <si>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</si>
  <si>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</si>
  <si>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</si>
  <si>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</si>
  <si>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</si>
  <si>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</si>
  <si>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</si>
  <si>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</si>
  <si>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</si>
  <si>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</si>
  <si>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</si>
  <si>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</si>
  <si>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</si>
  <si>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</si>
  <si>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</si>
  <si>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</si>
  <si>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</si>
  <si>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</si>
  <si>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</si>
  <si>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</si>
  <si>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</si>
  <si>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</si>
  <si>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</si>
  <si>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</si>
  <si>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</si>
  <si>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</si>
  <si>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</si>
  <si>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</si>
  <si>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</si>
  <si>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</si>
  <si>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</si>
  <si>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</si>
  <si>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</si>
  <si>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</si>
  <si>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</si>
  <si>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</si>
  <si>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</si>
  <si>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</si>
  <si>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</si>
  <si>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</si>
  <si>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</si>
  <si>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</si>
  <si>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</si>
  <si>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</si>
  <si>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</si>
  <si>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</si>
  <si>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</si>
  <si>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</si>
  <si>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</si>
  <si>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</si>
  <si>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</si>
  <si>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</si>
  <si>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</si>
  <si>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</si>
  <si>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</si>
  <si>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</si>
  <si>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</si>
  <si>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</si>
  <si>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</si>
  <si>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</si>
  <si>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</si>
  <si>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</si>
  <si>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</si>
  <si>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</si>
  <si>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</si>
  <si>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</si>
  <si>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</si>
  <si>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</si>
  <si>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</si>
  <si>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</si>
  <si>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</si>
  <si>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</si>
  <si>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</si>
  <si>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</si>
  <si>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</si>
  <si>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</si>
  <si>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</si>
  <si>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</si>
  <si>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</si>
  <si>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</si>
  <si>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</si>
  <si>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</si>
  <si>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</si>
  <si>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</si>
  <si>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</si>
  <si>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</si>
  <si>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</si>
  <si>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</si>
  <si>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</si>
  <si>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</si>
  <si>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</si>
  <si>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</si>
  <si>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</si>
  <si>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</si>
  <si>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</si>
  <si>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</si>
  <si>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</si>
  <si>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</si>
  <si>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</si>
  <si>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</si>
  <si>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</si>
  <si>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</si>
  <si>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</si>
  <si>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</si>
  <si>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</si>
  <si>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</si>
  <si>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</si>
  <si>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</si>
  <si>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</si>
  <si>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</si>
  <si>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</si>
  <si>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</si>
  <si>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</si>
  <si>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</si>
  <si>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</si>
  <si>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</si>
  <si>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</si>
  <si>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</si>
  <si>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</si>
  <si>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</si>
  <si>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</si>
  <si>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</si>
  <si>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</si>
  <si>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</si>
  <si>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</si>
  <si>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</si>
  <si>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</si>
  <si>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</si>
  <si>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</si>
  <si>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</si>
  <si>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</si>
  <si>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</si>
  <si>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</si>
  <si>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</si>
  <si>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</si>
  <si>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</si>
  <si>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</si>
  <si>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</si>
  <si>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</si>
  <si>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</si>
  <si>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</si>
  <si>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</si>
  <si>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</si>
  <si>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</si>
  <si>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</si>
  <si>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</si>
  <si>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</si>
  <si>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</si>
  <si>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</si>
  <si>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</si>
  <si>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</si>
  <si>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</si>
  <si>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</si>
  <si>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</si>
  <si>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</si>
  <si>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</si>
  <si>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</si>
  <si>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</si>
  <si>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</si>
  <si>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</si>
  <si>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</si>
  <si>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</si>
  <si>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</si>
  <si>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</si>
  <si>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</si>
  <si>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</si>
  <si>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</si>
  <si>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</si>
  <si>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</si>
  <si>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</si>
  <si>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</si>
  <si>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</si>
  <si>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</si>
  <si>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</si>
  <si>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</si>
  <si>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</si>
  <si>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</si>
  <si>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</si>
  <si>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</si>
  <si>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</si>
  <si>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</si>
  <si>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</si>
  <si>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</si>
  <si>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</si>
  <si>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</si>
  <si>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</si>
  <si>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</si>
  <si>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</si>
  <si>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</si>
  <si>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</si>
  <si>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</si>
  <si>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</si>
  <si>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</si>
  <si>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</si>
  <si>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</si>
  <si>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</si>
  <si>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</si>
  <si>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</si>
  <si>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</si>
  <si>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</si>
  <si>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</si>
  <si>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</si>
  <si>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</si>
  <si>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</si>
  <si>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</si>
  <si>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</si>
  <si>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</si>
  <si>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</si>
  <si>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</si>
  <si>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</si>
  <si>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</si>
  <si>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</si>
  <si>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</si>
  <si>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</si>
  <si>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</si>
  <si>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</si>
  <si>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</si>
  <si>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</si>
  <si>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</si>
  <si>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</si>
  <si>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</si>
  <si>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</si>
  <si>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</si>
  <si>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</si>
  <si>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</si>
  <si>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</si>
  <si>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</si>
  <si>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</si>
  <si>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</si>
  <si>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</si>
  <si>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</si>
  <si>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</si>
  <si>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</si>
  <si>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</si>
  <si>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</si>
  <si>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</si>
  <si>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</si>
  <si>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</si>
  <si>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</si>
  <si>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</si>
  <si>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</si>
  <si>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</si>
  <si>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</si>
  <si>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</si>
  <si>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</si>
  <si>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</si>
  <si>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</si>
  <si>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</si>
  <si>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</si>
  <si>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</si>
  <si>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</si>
  <si>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</si>
  <si>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</si>
  <si>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</si>
  <si>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</si>
  <si>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</si>
  <si>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</si>
  <si>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</si>
  <si>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</si>
  <si>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</si>
  <si>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</si>
  <si>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</si>
  <si>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</si>
  <si>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</si>
  <si>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</si>
  <si>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</si>
  <si>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</si>
  <si>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</si>
  <si>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</si>
  <si>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</si>
  <si>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</si>
  <si>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</si>
  <si>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</si>
  <si>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</si>
  <si>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</si>
  <si>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</si>
  <si>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</si>
  <si>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</si>
  <si>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</si>
  <si>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</si>
  <si>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</si>
  <si>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</si>
  <si>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</si>
  <si>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</si>
  <si>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</si>
  <si>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</si>
  <si>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</si>
  <si>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</si>
  <si>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</si>
  <si>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</si>
  <si>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</si>
  <si>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</si>
  <si>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</si>
  <si>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</si>
  <si>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</si>
  <si>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</si>
  <si>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</si>
  <si>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</si>
  <si>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</si>
  <si>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</si>
  <si>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</si>
  <si>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</si>
  <si>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</si>
  <si>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</si>
  <si>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</si>
  <si>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</si>
  <si>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</si>
  <si>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</si>
  <si>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</si>
  <si>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</si>
  <si>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</si>
  <si>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</si>
  <si>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</si>
  <si>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</si>
  <si>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</si>
  <si>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</si>
  <si>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</si>
  <si>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</si>
  <si>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</si>
  <si>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</si>
  <si>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</si>
  <si>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</si>
  <si>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</si>
  <si>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</si>
  <si>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</si>
  <si>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</si>
  <si>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</si>
  <si>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</si>
  <si>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</si>
  <si>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</si>
  <si>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</si>
  <si>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</si>
  <si>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</si>
  <si>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</si>
  <si>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</si>
  <si>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</si>
  <si>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</si>
  <si>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</si>
  <si>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</si>
  <si>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</si>
  <si>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</si>
  <si>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</si>
  <si>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</si>
  <si>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</si>
  <si>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</si>
  <si>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</si>
  <si>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</si>
  <si>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</si>
  <si>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</si>
  <si>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</si>
  <si>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</si>
  <si>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</si>
  <si>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</si>
  <si>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</si>
  <si>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</si>
  <si>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</si>
  <si>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</si>
  <si>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</si>
  <si>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</si>
  <si>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</si>
  <si>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</si>
  <si>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</si>
  <si>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</si>
  <si>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</si>
  <si>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</si>
  <si>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</si>
  <si>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</si>
  <si>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</si>
  <si>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</si>
  <si>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</si>
  <si>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</si>
  <si>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</si>
  <si>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</si>
  <si>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</si>
  <si>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</si>
  <si>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</si>
  <si>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</si>
  <si>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</si>
  <si>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</si>
  <si>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</si>
  <si>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</si>
  <si>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</si>
  <si>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</si>
  <si>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</si>
  <si>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</si>
  <si>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</si>
  <si>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</si>
  <si>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</si>
  <si>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</si>
  <si>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</si>
  <si>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</si>
  <si>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</si>
  <si>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</si>
  <si>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</si>
  <si>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</si>
  <si>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</si>
  <si>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</si>
  <si>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</si>
  <si>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</si>
  <si>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</si>
  <si>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</si>
  <si>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</si>
  <si>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</si>
  <si>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</si>
  <si>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</si>
  <si>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</si>
  <si>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</si>
  <si>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</si>
  <si>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</si>
  <si>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</si>
  <si>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</si>
  <si>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</si>
  <si>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</si>
  <si>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</si>
  <si>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</si>
  <si>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</si>
  <si>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</si>
  <si>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</si>
  <si>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</si>
  <si>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</si>
  <si>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</si>
  <si>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</si>
  <si>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</si>
  <si>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</si>
  <si>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</si>
  <si>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</si>
  <si>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</si>
  <si>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</si>
  <si>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</si>
  <si>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</si>
  <si>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</si>
  <si>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</si>
  <si>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</si>
  <si>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</si>
  <si>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</si>
  <si>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</si>
  <si>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</si>
  <si>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</si>
  <si>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</si>
  <si>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</si>
  <si>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</si>
  <si>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</si>
  <si>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</si>
  <si>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</si>
  <si>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</si>
  <si>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</si>
  <si>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</si>
  <si>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</si>
  <si>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</si>
  <si>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</si>
  <si>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</si>
  <si>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</si>
  <si>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</si>
  <si>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</si>
  <si>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</si>
  <si>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</si>
  <si>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</si>
  <si>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</si>
  <si>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</si>
  <si>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</si>
  <si>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</si>
  <si>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</si>
  <si>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</si>
  <si>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</si>
  <si>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</si>
  <si>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</si>
  <si>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</si>
  <si>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</si>
  <si>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</si>
  <si>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</si>
  <si>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</si>
  <si>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</si>
  <si>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</si>
  <si>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</si>
  <si>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</si>
  <si>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</si>
  <si>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</si>
  <si>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</si>
  <si>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</si>
  <si>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</si>
  <si>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</si>
  <si>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</si>
  <si>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</si>
  <si>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</si>
  <si>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</si>
  <si>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</si>
  <si>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</si>
  <si>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</si>
  <si>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</si>
  <si>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</si>
  <si>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</si>
  <si>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</si>
  <si>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</si>
  <si>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</si>
  <si>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</si>
  <si>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</si>
  <si>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</si>
  <si>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</si>
  <si>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</si>
  <si>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</si>
  <si>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</si>
  <si>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</si>
  <si>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</si>
  <si>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</si>
  <si>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</si>
  <si>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</si>
  <si>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</si>
  <si>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</si>
  <si>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</si>
  <si>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</si>
  <si>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</si>
  <si>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</si>
  <si>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</si>
  <si>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</si>
  <si>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</si>
  <si>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</si>
  <si>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</si>
  <si>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</si>
  <si>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</si>
  <si>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</si>
  <si>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</si>
  <si>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</si>
  <si>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</si>
  <si>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</si>
  <si>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</si>
  <si>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</si>
  <si>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</si>
  <si>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</si>
  <si>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</si>
  <si>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</si>
  <si>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</si>
  <si>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</si>
  <si>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</si>
  <si>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</si>
  <si>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</si>
  <si>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</si>
  <si>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</si>
  <si>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</si>
  <si>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</si>
  <si>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</si>
  <si>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</si>
  <si>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</si>
  <si>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</si>
  <si>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</si>
  <si>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</si>
  <si>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</si>
  <si>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</si>
  <si>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</si>
  <si>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</si>
  <si>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</si>
  <si>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</si>
  <si>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</si>
  <si>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</si>
  <si>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</si>
  <si>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</si>
  <si>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</si>
  <si>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</si>
  <si>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</si>
  <si>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</si>
  <si>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</si>
  <si>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</si>
  <si>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</si>
  <si>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</si>
  <si>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</si>
  <si>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</si>
  <si>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</si>
  <si>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</si>
  <si>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</si>
  <si>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</si>
  <si>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</si>
  <si>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</si>
  <si>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</si>
  <si>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</si>
  <si>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</si>
  <si>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</si>
  <si>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</si>
  <si>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</si>
  <si>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</si>
  <si>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</si>
  <si>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</si>
  <si>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</si>
  <si>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</si>
  <si>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</si>
  <si>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</si>
  <si>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</si>
  <si>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</si>
  <si>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</si>
  <si>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</si>
  <si>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</si>
  <si>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</si>
  <si>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</si>
  <si>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</si>
  <si>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</si>
  <si>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</si>
  <si>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</si>
  <si>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</si>
  <si>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</si>
  <si>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</si>
  <si>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</si>
  <si>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</si>
  <si>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</si>
  <si>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</si>
  <si>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</si>
  <si>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</si>
  <si>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</si>
  <si>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</si>
  <si>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</si>
  <si>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</si>
  <si>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</si>
  <si>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</si>
  <si>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</si>
  <si>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</si>
  <si>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</si>
  <si>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</si>
  <si>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</si>
  <si>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</si>
  <si>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</si>
  <si>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</si>
  <si>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</si>
  <si>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</si>
  <si>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</si>
  <si>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</si>
  <si>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</si>
  <si>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</si>
  <si>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</si>
  <si>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</si>
  <si>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</si>
  <si>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</si>
  <si>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</si>
  <si>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</si>
  <si>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</si>
  <si>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</si>
  <si>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</si>
  <si>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</si>
  <si>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</si>
  <si>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</si>
  <si>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</si>
  <si>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</si>
  <si>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</si>
  <si>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序号</t>
  </si>
  <si>
    <t>楼号</t>
  </si>
  <si>
    <t>单元</t>
  </si>
  <si>
    <t>房号</t>
  </si>
  <si>
    <t>建筑面积</t>
  </si>
  <si>
    <t>用途</t>
    <phoneticPr fontId="143" type="noConversion"/>
  </si>
  <si>
    <t>1号楼</t>
  </si>
  <si>
    <t>101</t>
  </si>
  <si>
    <t>——</t>
    <phoneticPr fontId="3" type="noConversion"/>
  </si>
  <si>
    <t>住宅</t>
  </si>
  <si>
    <t>住宅</t>
    <phoneticPr fontId="143" type="noConversion"/>
  </si>
  <si>
    <t>2号楼</t>
  </si>
  <si>
    <t>1单元</t>
    <phoneticPr fontId="3" type="noConversion"/>
  </si>
  <si>
    <t>2单元</t>
    <phoneticPr fontId="3" type="noConversion"/>
  </si>
  <si>
    <t>2单元</t>
    <phoneticPr fontId="3" type="noConversion"/>
  </si>
  <si>
    <t>3单元</t>
    <phoneticPr fontId="3" type="noConversion"/>
  </si>
  <si>
    <t>4单元</t>
    <phoneticPr fontId="3" type="noConversion"/>
  </si>
  <si>
    <t>3号楼</t>
  </si>
  <si>
    <t>4号楼</t>
  </si>
  <si>
    <t>5号楼</t>
  </si>
  <si>
    <t>6号楼</t>
  </si>
  <si>
    <t>7号楼</t>
  </si>
  <si>
    <t>8号楼</t>
  </si>
  <si>
    <t>3单元</t>
    <phoneticPr fontId="3" type="noConversion"/>
  </si>
  <si>
    <t>3单元</t>
    <phoneticPr fontId="3" type="noConversion"/>
  </si>
  <si>
    <t>9号楼</t>
  </si>
  <si>
    <t>11号楼</t>
    <phoneticPr fontId="3" type="noConversion"/>
  </si>
  <si>
    <t>12号楼</t>
    <phoneticPr fontId="3" type="noConversion"/>
  </si>
  <si>
    <t>13号楼</t>
  </si>
  <si>
    <t>14号楼</t>
  </si>
  <si>
    <t>15号楼</t>
  </si>
  <si>
    <t>17号楼</t>
  </si>
  <si>
    <t>17号楼</t>
    <phoneticPr fontId="143" type="noConversion"/>
  </si>
  <si>
    <t>2-001</t>
    <phoneticPr fontId="3" type="noConversion"/>
  </si>
  <si>
    <t>2-002</t>
    <phoneticPr fontId="3" type="noConversion"/>
  </si>
  <si>
    <t>2-003</t>
    <phoneticPr fontId="3" type="noConversion"/>
  </si>
  <si>
    <t>2-004</t>
    <phoneticPr fontId="3" type="noConversion"/>
  </si>
  <si>
    <t>2-005</t>
    <phoneticPr fontId="3" type="noConversion"/>
  </si>
  <si>
    <t>2-006</t>
    <phoneticPr fontId="3" type="noConversion"/>
  </si>
  <si>
    <t>2-007</t>
    <phoneticPr fontId="3" type="noConversion"/>
  </si>
  <si>
    <t>2-008</t>
    <phoneticPr fontId="3" type="noConversion"/>
  </si>
  <si>
    <t>2-009</t>
    <phoneticPr fontId="3" type="noConversion"/>
  </si>
  <si>
    <t>2-010</t>
    <phoneticPr fontId="3" type="noConversion"/>
  </si>
  <si>
    <t>2-011</t>
    <phoneticPr fontId="3" type="noConversion"/>
  </si>
  <si>
    <t>2-012</t>
    <phoneticPr fontId="3" type="noConversion"/>
  </si>
  <si>
    <t>2-013</t>
    <phoneticPr fontId="3" type="noConversion"/>
  </si>
  <si>
    <t>2-014</t>
    <phoneticPr fontId="3" type="noConversion"/>
  </si>
  <si>
    <t>2-015</t>
    <phoneticPr fontId="3" type="noConversion"/>
  </si>
  <si>
    <t>2-016</t>
    <phoneticPr fontId="3" type="noConversion"/>
  </si>
  <si>
    <t>2-017</t>
    <phoneticPr fontId="3" type="noConversion"/>
  </si>
  <si>
    <t>2-018</t>
    <phoneticPr fontId="3" type="noConversion"/>
  </si>
  <si>
    <t>2-019</t>
    <phoneticPr fontId="3" type="noConversion"/>
  </si>
  <si>
    <t>2-020</t>
    <phoneticPr fontId="3" type="noConversion"/>
  </si>
  <si>
    <t>2-021</t>
    <phoneticPr fontId="3" type="noConversion"/>
  </si>
  <si>
    <t>2-022</t>
    <phoneticPr fontId="3" type="noConversion"/>
  </si>
  <si>
    <t>2-023</t>
    <phoneticPr fontId="3" type="noConversion"/>
  </si>
  <si>
    <t>2-024</t>
    <phoneticPr fontId="3" type="noConversion"/>
  </si>
  <si>
    <t>2-025</t>
    <phoneticPr fontId="3" type="noConversion"/>
  </si>
  <si>
    <t>2-026</t>
    <phoneticPr fontId="3" type="noConversion"/>
  </si>
  <si>
    <t>2-027</t>
    <phoneticPr fontId="3" type="noConversion"/>
  </si>
  <si>
    <t>2-028</t>
    <phoneticPr fontId="3" type="noConversion"/>
  </si>
  <si>
    <t>2-029</t>
    <phoneticPr fontId="3" type="noConversion"/>
  </si>
  <si>
    <t>2-030</t>
    <phoneticPr fontId="3" type="noConversion"/>
  </si>
  <si>
    <t>2-031</t>
    <phoneticPr fontId="3" type="noConversion"/>
  </si>
  <si>
    <t>2-032</t>
    <phoneticPr fontId="3" type="noConversion"/>
  </si>
  <si>
    <t>2-033</t>
    <phoneticPr fontId="3" type="noConversion"/>
  </si>
  <si>
    <t>2-034</t>
    <phoneticPr fontId="3" type="noConversion"/>
  </si>
  <si>
    <t>2-035</t>
    <phoneticPr fontId="3" type="noConversion"/>
  </si>
  <si>
    <t>2-036</t>
    <phoneticPr fontId="3" type="noConversion"/>
  </si>
  <si>
    <t>2-037</t>
    <phoneticPr fontId="3" type="noConversion"/>
  </si>
  <si>
    <t>2-038</t>
    <phoneticPr fontId="3" type="noConversion"/>
  </si>
  <si>
    <t>2-039</t>
    <phoneticPr fontId="3" type="noConversion"/>
  </si>
  <si>
    <t>2-040</t>
    <phoneticPr fontId="3" type="noConversion"/>
  </si>
  <si>
    <t>2-041</t>
    <phoneticPr fontId="3" type="noConversion"/>
  </si>
  <si>
    <t>2-042</t>
    <phoneticPr fontId="3" type="noConversion"/>
  </si>
  <si>
    <t>2-043</t>
    <phoneticPr fontId="3" type="noConversion"/>
  </si>
  <si>
    <t>2-044</t>
    <phoneticPr fontId="3" type="noConversion"/>
  </si>
  <si>
    <t>2-045</t>
    <phoneticPr fontId="3" type="noConversion"/>
  </si>
  <si>
    <t>2-046</t>
    <phoneticPr fontId="3" type="noConversion"/>
  </si>
  <si>
    <t>2-047</t>
    <phoneticPr fontId="3" type="noConversion"/>
  </si>
  <si>
    <t>2-048</t>
    <phoneticPr fontId="3" type="noConversion"/>
  </si>
  <si>
    <t>2-049</t>
    <phoneticPr fontId="3" type="noConversion"/>
  </si>
  <si>
    <t>2-050</t>
    <phoneticPr fontId="3" type="noConversion"/>
  </si>
  <si>
    <t>2-051</t>
    <phoneticPr fontId="3" type="noConversion"/>
  </si>
  <si>
    <t>2-052</t>
    <phoneticPr fontId="3" type="noConversion"/>
  </si>
  <si>
    <t>2-053</t>
    <phoneticPr fontId="3" type="noConversion"/>
  </si>
  <si>
    <t>2-054</t>
    <phoneticPr fontId="3" type="noConversion"/>
  </si>
  <si>
    <t>2-055</t>
    <phoneticPr fontId="3" type="noConversion"/>
  </si>
  <si>
    <t>2-056</t>
    <phoneticPr fontId="3" type="noConversion"/>
  </si>
  <si>
    <t>2-057</t>
    <phoneticPr fontId="3" type="noConversion"/>
  </si>
  <si>
    <t>2-058</t>
    <phoneticPr fontId="3" type="noConversion"/>
  </si>
  <si>
    <t>2-059</t>
    <phoneticPr fontId="3" type="noConversion"/>
  </si>
  <si>
    <t>2-060</t>
    <phoneticPr fontId="3" type="noConversion"/>
  </si>
  <si>
    <t>2-061</t>
    <phoneticPr fontId="3" type="noConversion"/>
  </si>
  <si>
    <t>地下车库</t>
    <phoneticPr fontId="143" type="noConversion"/>
  </si>
  <si>
    <t>2-063</t>
    <phoneticPr fontId="3" type="noConversion"/>
  </si>
  <si>
    <t>2-064</t>
    <phoneticPr fontId="3" type="noConversion"/>
  </si>
  <si>
    <t>2-065</t>
    <phoneticPr fontId="3" type="noConversion"/>
  </si>
  <si>
    <t>2-066</t>
    <phoneticPr fontId="3" type="noConversion"/>
  </si>
  <si>
    <t>2-067</t>
    <phoneticPr fontId="3" type="noConversion"/>
  </si>
  <si>
    <t>2-068</t>
    <phoneticPr fontId="3" type="noConversion"/>
  </si>
  <si>
    <t>2-069</t>
    <phoneticPr fontId="3" type="noConversion"/>
  </si>
  <si>
    <t>2-070</t>
    <phoneticPr fontId="3" type="noConversion"/>
  </si>
  <si>
    <t>2-071</t>
    <phoneticPr fontId="3" type="noConversion"/>
  </si>
  <si>
    <t>2-072</t>
    <phoneticPr fontId="3" type="noConversion"/>
  </si>
  <si>
    <t>2-073</t>
    <phoneticPr fontId="3" type="noConversion"/>
  </si>
  <si>
    <t>2-074</t>
    <phoneticPr fontId="3" type="noConversion"/>
  </si>
  <si>
    <t>2-075</t>
    <phoneticPr fontId="3" type="noConversion"/>
  </si>
  <si>
    <t>2-076</t>
    <phoneticPr fontId="3" type="noConversion"/>
  </si>
  <si>
    <t>2-077</t>
    <phoneticPr fontId="3" type="noConversion"/>
  </si>
  <si>
    <t>2-078</t>
    <phoneticPr fontId="3" type="noConversion"/>
  </si>
  <si>
    <t>2-079</t>
    <phoneticPr fontId="3" type="noConversion"/>
  </si>
  <si>
    <t>2-080</t>
    <phoneticPr fontId="3" type="noConversion"/>
  </si>
  <si>
    <t>2-081</t>
    <phoneticPr fontId="3" type="noConversion"/>
  </si>
  <si>
    <t>2-082</t>
    <phoneticPr fontId="3" type="noConversion"/>
  </si>
  <si>
    <t>2-083</t>
    <phoneticPr fontId="3" type="noConversion"/>
  </si>
  <si>
    <t>2-084</t>
    <phoneticPr fontId="3" type="noConversion"/>
  </si>
  <si>
    <t>2-085</t>
    <phoneticPr fontId="3" type="noConversion"/>
  </si>
  <si>
    <t>2-086</t>
    <phoneticPr fontId="3" type="noConversion"/>
  </si>
  <si>
    <t>2-087</t>
    <phoneticPr fontId="3" type="noConversion"/>
  </si>
  <si>
    <t>2-088</t>
    <phoneticPr fontId="3" type="noConversion"/>
  </si>
  <si>
    <t>2-089</t>
    <phoneticPr fontId="3" type="noConversion"/>
  </si>
  <si>
    <t>2-090</t>
    <phoneticPr fontId="3" type="noConversion"/>
  </si>
  <si>
    <t>2-091</t>
    <phoneticPr fontId="3" type="noConversion"/>
  </si>
  <si>
    <t>2-092</t>
    <phoneticPr fontId="3" type="noConversion"/>
  </si>
  <si>
    <t>2-093</t>
    <phoneticPr fontId="3" type="noConversion"/>
  </si>
  <si>
    <t>2-094</t>
    <phoneticPr fontId="3" type="noConversion"/>
  </si>
  <si>
    <t>2-095</t>
    <phoneticPr fontId="3" type="noConversion"/>
  </si>
  <si>
    <t>2-096</t>
    <phoneticPr fontId="3" type="noConversion"/>
  </si>
  <si>
    <t>2-097</t>
    <phoneticPr fontId="3" type="noConversion"/>
  </si>
  <si>
    <t>2-098</t>
    <phoneticPr fontId="3" type="noConversion"/>
  </si>
  <si>
    <t>2-099</t>
    <phoneticPr fontId="3" type="noConversion"/>
  </si>
  <si>
    <t>2-100</t>
    <phoneticPr fontId="3" type="noConversion"/>
  </si>
  <si>
    <t>2-101</t>
    <phoneticPr fontId="3" type="noConversion"/>
  </si>
  <si>
    <t>2-102</t>
    <phoneticPr fontId="3" type="noConversion"/>
  </si>
  <si>
    <t>2-103</t>
    <phoneticPr fontId="3" type="noConversion"/>
  </si>
  <si>
    <t>2-104</t>
    <phoneticPr fontId="3" type="noConversion"/>
  </si>
  <si>
    <t>2-105</t>
    <phoneticPr fontId="3" type="noConversion"/>
  </si>
  <si>
    <t>2-106</t>
    <phoneticPr fontId="3" type="noConversion"/>
  </si>
  <si>
    <t>2-109</t>
    <phoneticPr fontId="3" type="noConversion"/>
  </si>
  <si>
    <t>2-110</t>
    <phoneticPr fontId="3" type="noConversion"/>
  </si>
  <si>
    <t>2-111</t>
    <phoneticPr fontId="3" type="noConversion"/>
  </si>
  <si>
    <t>2-112</t>
    <phoneticPr fontId="3" type="noConversion"/>
  </si>
  <si>
    <t>2-113</t>
    <phoneticPr fontId="3" type="noConversion"/>
  </si>
  <si>
    <t>2-114</t>
    <phoneticPr fontId="3" type="noConversion"/>
  </si>
  <si>
    <t>2-115</t>
    <phoneticPr fontId="3" type="noConversion"/>
  </si>
  <si>
    <t>2-116</t>
    <phoneticPr fontId="3" type="noConversion"/>
  </si>
  <si>
    <t>2-117</t>
    <phoneticPr fontId="3" type="noConversion"/>
  </si>
  <si>
    <t>2-118</t>
    <phoneticPr fontId="3" type="noConversion"/>
  </si>
  <si>
    <t>2-119</t>
    <phoneticPr fontId="3" type="noConversion"/>
  </si>
  <si>
    <t>2-120</t>
    <phoneticPr fontId="3" type="noConversion"/>
  </si>
  <si>
    <t>2-121</t>
    <phoneticPr fontId="3" type="noConversion"/>
  </si>
  <si>
    <t>2-122</t>
    <phoneticPr fontId="3" type="noConversion"/>
  </si>
  <si>
    <t>2-123</t>
    <phoneticPr fontId="3" type="noConversion"/>
  </si>
  <si>
    <t>2-124</t>
    <phoneticPr fontId="3" type="noConversion"/>
  </si>
  <si>
    <t>2-125</t>
    <phoneticPr fontId="3" type="noConversion"/>
  </si>
  <si>
    <t>2-126</t>
    <phoneticPr fontId="3" type="noConversion"/>
  </si>
  <si>
    <t>2-127</t>
    <phoneticPr fontId="3" type="noConversion"/>
  </si>
  <si>
    <t>2-128</t>
    <phoneticPr fontId="3" type="noConversion"/>
  </si>
  <si>
    <t>2-129</t>
    <phoneticPr fontId="3" type="noConversion"/>
  </si>
  <si>
    <t>2-130</t>
    <phoneticPr fontId="3" type="noConversion"/>
  </si>
  <si>
    <t>2-131</t>
    <phoneticPr fontId="3" type="noConversion"/>
  </si>
  <si>
    <t>2-132</t>
    <phoneticPr fontId="3" type="noConversion"/>
  </si>
  <si>
    <t>2-133</t>
    <phoneticPr fontId="3" type="noConversion"/>
  </si>
  <si>
    <t>2-134</t>
    <phoneticPr fontId="3" type="noConversion"/>
  </si>
  <si>
    <t>2-135</t>
    <phoneticPr fontId="3" type="noConversion"/>
  </si>
  <si>
    <t>2-136</t>
    <phoneticPr fontId="3" type="noConversion"/>
  </si>
  <si>
    <t>2-137</t>
    <phoneticPr fontId="3" type="noConversion"/>
  </si>
  <si>
    <t>2-138</t>
    <phoneticPr fontId="3" type="noConversion"/>
  </si>
  <si>
    <t>2-139</t>
    <phoneticPr fontId="3" type="noConversion"/>
  </si>
  <si>
    <t>2-140</t>
    <phoneticPr fontId="3" type="noConversion"/>
  </si>
  <si>
    <t>2-141</t>
    <phoneticPr fontId="3" type="noConversion"/>
  </si>
  <si>
    <t>2-142</t>
    <phoneticPr fontId="3" type="noConversion"/>
  </si>
  <si>
    <t>2-143</t>
    <phoneticPr fontId="3" type="noConversion"/>
  </si>
  <si>
    <t>2-144</t>
    <phoneticPr fontId="3" type="noConversion"/>
  </si>
  <si>
    <t>2-145</t>
    <phoneticPr fontId="3" type="noConversion"/>
  </si>
  <si>
    <t>2-146</t>
    <phoneticPr fontId="3" type="noConversion"/>
  </si>
  <si>
    <t>2-147</t>
    <phoneticPr fontId="3" type="noConversion"/>
  </si>
  <si>
    <t>2-148</t>
    <phoneticPr fontId="3" type="noConversion"/>
  </si>
  <si>
    <t>2-149</t>
    <phoneticPr fontId="3" type="noConversion"/>
  </si>
  <si>
    <t>2-150</t>
    <phoneticPr fontId="3" type="noConversion"/>
  </si>
  <si>
    <t>2-151</t>
    <phoneticPr fontId="3" type="noConversion"/>
  </si>
  <si>
    <t>2-152</t>
    <phoneticPr fontId="3" type="noConversion"/>
  </si>
  <si>
    <t>2-153</t>
    <phoneticPr fontId="3" type="noConversion"/>
  </si>
  <si>
    <t>2-154</t>
    <phoneticPr fontId="3" type="noConversion"/>
  </si>
  <si>
    <t>2-155</t>
    <phoneticPr fontId="3" type="noConversion"/>
  </si>
  <si>
    <t>2-156</t>
    <phoneticPr fontId="3" type="noConversion"/>
  </si>
  <si>
    <t>2-157</t>
    <phoneticPr fontId="3" type="noConversion"/>
  </si>
  <si>
    <t>2-158</t>
    <phoneticPr fontId="3" type="noConversion"/>
  </si>
  <si>
    <t>2-159</t>
    <phoneticPr fontId="3" type="noConversion"/>
  </si>
  <si>
    <t>2-160</t>
    <phoneticPr fontId="3" type="noConversion"/>
  </si>
  <si>
    <t>2-161</t>
    <phoneticPr fontId="3" type="noConversion"/>
  </si>
  <si>
    <t>2-162</t>
    <phoneticPr fontId="3" type="noConversion"/>
  </si>
  <si>
    <t>2-163</t>
    <phoneticPr fontId="3" type="noConversion"/>
  </si>
  <si>
    <t>2-164</t>
    <phoneticPr fontId="3" type="noConversion"/>
  </si>
  <si>
    <t>2-165</t>
    <phoneticPr fontId="3" type="noConversion"/>
  </si>
  <si>
    <t>2-166</t>
    <phoneticPr fontId="3" type="noConversion"/>
  </si>
  <si>
    <t>2-167</t>
    <phoneticPr fontId="3" type="noConversion"/>
  </si>
  <si>
    <t>2-168</t>
    <phoneticPr fontId="3" type="noConversion"/>
  </si>
  <si>
    <t>2-169</t>
    <phoneticPr fontId="3" type="noConversion"/>
  </si>
  <si>
    <t>2-170</t>
    <phoneticPr fontId="3" type="noConversion"/>
  </si>
  <si>
    <t>2-171</t>
    <phoneticPr fontId="3" type="noConversion"/>
  </si>
  <si>
    <t>2-172</t>
    <phoneticPr fontId="3" type="noConversion"/>
  </si>
  <si>
    <t>2-173</t>
    <phoneticPr fontId="3" type="noConversion"/>
  </si>
  <si>
    <t>2-174</t>
    <phoneticPr fontId="3" type="noConversion"/>
  </si>
  <si>
    <t>2-175</t>
    <phoneticPr fontId="3" type="noConversion"/>
  </si>
  <si>
    <t>2-176</t>
    <phoneticPr fontId="3" type="noConversion"/>
  </si>
  <si>
    <t>2-177</t>
    <phoneticPr fontId="3" type="noConversion"/>
  </si>
  <si>
    <t>2-178</t>
    <phoneticPr fontId="3" type="noConversion"/>
  </si>
  <si>
    <t>2-179</t>
    <phoneticPr fontId="3" type="noConversion"/>
  </si>
  <si>
    <t>2-180</t>
    <phoneticPr fontId="3" type="noConversion"/>
  </si>
  <si>
    <t>2-181</t>
    <phoneticPr fontId="3" type="noConversion"/>
  </si>
  <si>
    <t>2-184</t>
    <phoneticPr fontId="3" type="noConversion"/>
  </si>
  <si>
    <t>2-185</t>
    <phoneticPr fontId="3" type="noConversion"/>
  </si>
  <si>
    <t>2-186</t>
    <phoneticPr fontId="3" type="noConversion"/>
  </si>
  <si>
    <t>2-187</t>
    <phoneticPr fontId="3" type="noConversion"/>
  </si>
  <si>
    <t>2-188</t>
    <phoneticPr fontId="3" type="noConversion"/>
  </si>
  <si>
    <t>2-189</t>
    <phoneticPr fontId="3" type="noConversion"/>
  </si>
  <si>
    <t>2-190</t>
    <phoneticPr fontId="3" type="noConversion"/>
  </si>
  <si>
    <t>2-191</t>
    <phoneticPr fontId="3" type="noConversion"/>
  </si>
  <si>
    <t>2-192</t>
    <phoneticPr fontId="3" type="noConversion"/>
  </si>
  <si>
    <t>2-193</t>
    <phoneticPr fontId="3" type="noConversion"/>
  </si>
  <si>
    <t>2-194</t>
    <phoneticPr fontId="3" type="noConversion"/>
  </si>
  <si>
    <t>2-195</t>
    <phoneticPr fontId="3" type="noConversion"/>
  </si>
  <si>
    <t>2-196</t>
    <phoneticPr fontId="3" type="noConversion"/>
  </si>
  <si>
    <t>2-197</t>
    <phoneticPr fontId="3" type="noConversion"/>
  </si>
  <si>
    <t>2-198</t>
    <phoneticPr fontId="3" type="noConversion"/>
  </si>
  <si>
    <t>2-199</t>
    <phoneticPr fontId="3" type="noConversion"/>
  </si>
  <si>
    <t>2-200</t>
    <phoneticPr fontId="3" type="noConversion"/>
  </si>
  <si>
    <t>2-201</t>
    <phoneticPr fontId="3" type="noConversion"/>
  </si>
  <si>
    <t>2-202</t>
    <phoneticPr fontId="3" type="noConversion"/>
  </si>
  <si>
    <t>2-203</t>
    <phoneticPr fontId="3" type="noConversion"/>
  </si>
  <si>
    <t>2-204</t>
    <phoneticPr fontId="3" type="noConversion"/>
  </si>
  <si>
    <t>2-205</t>
    <phoneticPr fontId="3" type="noConversion"/>
  </si>
  <si>
    <t>2-206</t>
    <phoneticPr fontId="3" type="noConversion"/>
  </si>
  <si>
    <t>2-207</t>
    <phoneticPr fontId="3" type="noConversion"/>
  </si>
  <si>
    <t>2-208</t>
    <phoneticPr fontId="3" type="noConversion"/>
  </si>
  <si>
    <t>2-209</t>
    <phoneticPr fontId="3" type="noConversion"/>
  </si>
  <si>
    <t>2-210</t>
    <phoneticPr fontId="3" type="noConversion"/>
  </si>
  <si>
    <t>2-211</t>
    <phoneticPr fontId="3" type="noConversion"/>
  </si>
  <si>
    <t>2-212</t>
    <phoneticPr fontId="3" type="noConversion"/>
  </si>
  <si>
    <t>2-213</t>
    <phoneticPr fontId="3" type="noConversion"/>
  </si>
  <si>
    <t>2-214</t>
    <phoneticPr fontId="3" type="noConversion"/>
  </si>
  <si>
    <t>2-215</t>
    <phoneticPr fontId="3" type="noConversion"/>
  </si>
  <si>
    <t>2-216</t>
    <phoneticPr fontId="3" type="noConversion"/>
  </si>
  <si>
    <t>2-217</t>
    <phoneticPr fontId="3" type="noConversion"/>
  </si>
  <si>
    <t>2-218</t>
    <phoneticPr fontId="3" type="noConversion"/>
  </si>
  <si>
    <t>2-219</t>
    <phoneticPr fontId="3" type="noConversion"/>
  </si>
  <si>
    <t>2-220</t>
    <phoneticPr fontId="3" type="noConversion"/>
  </si>
  <si>
    <t>2-221</t>
    <phoneticPr fontId="3" type="noConversion"/>
  </si>
  <si>
    <t>2-222</t>
    <phoneticPr fontId="3" type="noConversion"/>
  </si>
  <si>
    <t>2-223</t>
    <phoneticPr fontId="3" type="noConversion"/>
  </si>
  <si>
    <t>2-224</t>
    <phoneticPr fontId="3" type="noConversion"/>
  </si>
  <si>
    <t>2-225</t>
    <phoneticPr fontId="3" type="noConversion"/>
  </si>
  <si>
    <t>2-226</t>
    <phoneticPr fontId="3" type="noConversion"/>
  </si>
  <si>
    <t>2-227</t>
    <phoneticPr fontId="3" type="noConversion"/>
  </si>
  <si>
    <t>2-228</t>
    <phoneticPr fontId="3" type="noConversion"/>
  </si>
  <si>
    <t>2-229</t>
    <phoneticPr fontId="3" type="noConversion"/>
  </si>
  <si>
    <t>2-230</t>
    <phoneticPr fontId="3" type="noConversion"/>
  </si>
  <si>
    <t>2-231</t>
    <phoneticPr fontId="3" type="noConversion"/>
  </si>
  <si>
    <t>2-232</t>
    <phoneticPr fontId="3" type="noConversion"/>
  </si>
  <si>
    <t>2-233</t>
    <phoneticPr fontId="3" type="noConversion"/>
  </si>
  <si>
    <t>2-234</t>
    <phoneticPr fontId="3" type="noConversion"/>
  </si>
  <si>
    <t>2-235</t>
    <phoneticPr fontId="3" type="noConversion"/>
  </si>
  <si>
    <t>2-236</t>
    <phoneticPr fontId="3" type="noConversion"/>
  </si>
  <si>
    <t>2-237</t>
    <phoneticPr fontId="3" type="noConversion"/>
  </si>
  <si>
    <t>2-238</t>
    <phoneticPr fontId="3" type="noConversion"/>
  </si>
  <si>
    <t>2-239</t>
    <phoneticPr fontId="3" type="noConversion"/>
  </si>
  <si>
    <t>2-240</t>
    <phoneticPr fontId="3" type="noConversion"/>
  </si>
  <si>
    <t>2-241</t>
    <phoneticPr fontId="3" type="noConversion"/>
  </si>
  <si>
    <t>2-242</t>
    <phoneticPr fontId="3" type="noConversion"/>
  </si>
  <si>
    <t>2-243</t>
    <phoneticPr fontId="3" type="noConversion"/>
  </si>
  <si>
    <t>2-244</t>
    <phoneticPr fontId="3" type="noConversion"/>
  </si>
  <si>
    <t>3-001</t>
    <phoneticPr fontId="3" type="noConversion"/>
  </si>
  <si>
    <t>3-002</t>
    <phoneticPr fontId="3" type="noConversion"/>
  </si>
  <si>
    <t>3-003</t>
    <phoneticPr fontId="3" type="noConversion"/>
  </si>
  <si>
    <t>3-004</t>
    <phoneticPr fontId="3" type="noConversion"/>
  </si>
  <si>
    <t>3-005</t>
    <phoneticPr fontId="3" type="noConversion"/>
  </si>
  <si>
    <t>3-006</t>
    <phoneticPr fontId="3" type="noConversion"/>
  </si>
  <si>
    <t>3-007</t>
    <phoneticPr fontId="3" type="noConversion"/>
  </si>
  <si>
    <t>3-008</t>
    <phoneticPr fontId="3" type="noConversion"/>
  </si>
  <si>
    <t>3-009</t>
    <phoneticPr fontId="3" type="noConversion"/>
  </si>
  <si>
    <t>3-010</t>
    <phoneticPr fontId="3" type="noConversion"/>
  </si>
  <si>
    <t>3-011</t>
    <phoneticPr fontId="3" type="noConversion"/>
  </si>
  <si>
    <t>3-012</t>
    <phoneticPr fontId="3" type="noConversion"/>
  </si>
  <si>
    <t>3-013</t>
    <phoneticPr fontId="3" type="noConversion"/>
  </si>
  <si>
    <t>3-014</t>
    <phoneticPr fontId="3" type="noConversion"/>
  </si>
  <si>
    <t>3-015</t>
    <phoneticPr fontId="3" type="noConversion"/>
  </si>
  <si>
    <t>3-016</t>
    <phoneticPr fontId="3" type="noConversion"/>
  </si>
  <si>
    <t>3-017</t>
    <phoneticPr fontId="3" type="noConversion"/>
  </si>
  <si>
    <t>3-018</t>
    <phoneticPr fontId="3" type="noConversion"/>
  </si>
  <si>
    <t>3-019</t>
    <phoneticPr fontId="3" type="noConversion"/>
  </si>
  <si>
    <t>3-020</t>
    <phoneticPr fontId="3" type="noConversion"/>
  </si>
  <si>
    <t>3-021</t>
    <phoneticPr fontId="3" type="noConversion"/>
  </si>
  <si>
    <t>3-022</t>
    <phoneticPr fontId="3" type="noConversion"/>
  </si>
  <si>
    <t>3-023</t>
    <phoneticPr fontId="3" type="noConversion"/>
  </si>
  <si>
    <t>3-024</t>
    <phoneticPr fontId="3" type="noConversion"/>
  </si>
  <si>
    <t>3-025</t>
    <phoneticPr fontId="3" type="noConversion"/>
  </si>
  <si>
    <t>3-026</t>
    <phoneticPr fontId="3" type="noConversion"/>
  </si>
  <si>
    <t>3-027</t>
    <phoneticPr fontId="3" type="noConversion"/>
  </si>
  <si>
    <t>3-028</t>
    <phoneticPr fontId="3" type="noConversion"/>
  </si>
  <si>
    <t>3-029</t>
    <phoneticPr fontId="3" type="noConversion"/>
  </si>
  <si>
    <t>3-030</t>
    <phoneticPr fontId="3" type="noConversion"/>
  </si>
  <si>
    <t>3-031</t>
    <phoneticPr fontId="3" type="noConversion"/>
  </si>
  <si>
    <t>3-032</t>
    <phoneticPr fontId="3" type="noConversion"/>
  </si>
  <si>
    <t>3-033</t>
    <phoneticPr fontId="3" type="noConversion"/>
  </si>
  <si>
    <t>3-034</t>
    <phoneticPr fontId="3" type="noConversion"/>
  </si>
  <si>
    <t>3-035</t>
    <phoneticPr fontId="3" type="noConversion"/>
  </si>
  <si>
    <t>3-036</t>
    <phoneticPr fontId="3" type="noConversion"/>
  </si>
  <si>
    <t>3-037</t>
    <phoneticPr fontId="3" type="noConversion"/>
  </si>
  <si>
    <t>3-038</t>
    <phoneticPr fontId="3" type="noConversion"/>
  </si>
  <si>
    <t>3-039</t>
    <phoneticPr fontId="3" type="noConversion"/>
  </si>
  <si>
    <t>3-040</t>
    <phoneticPr fontId="3" type="noConversion"/>
  </si>
  <si>
    <t>3-041</t>
    <phoneticPr fontId="3" type="noConversion"/>
  </si>
  <si>
    <t>3-042</t>
    <phoneticPr fontId="3" type="noConversion"/>
  </si>
  <si>
    <t>3-043</t>
    <phoneticPr fontId="3" type="noConversion"/>
  </si>
  <si>
    <t>3-044</t>
    <phoneticPr fontId="3" type="noConversion"/>
  </si>
  <si>
    <t>3-045</t>
    <phoneticPr fontId="3" type="noConversion"/>
  </si>
  <si>
    <t>3-046</t>
    <phoneticPr fontId="3" type="noConversion"/>
  </si>
  <si>
    <t>3-047</t>
    <phoneticPr fontId="3" type="noConversion"/>
  </si>
  <si>
    <t>3-048</t>
    <phoneticPr fontId="3" type="noConversion"/>
  </si>
  <si>
    <t>3-049</t>
    <phoneticPr fontId="3" type="noConversion"/>
  </si>
  <si>
    <t>3-050</t>
    <phoneticPr fontId="3" type="noConversion"/>
  </si>
  <si>
    <t>3-051</t>
    <phoneticPr fontId="3" type="noConversion"/>
  </si>
  <si>
    <t>3-052</t>
    <phoneticPr fontId="3" type="noConversion"/>
  </si>
  <si>
    <t>3-053</t>
    <phoneticPr fontId="3" type="noConversion"/>
  </si>
  <si>
    <t>3-054</t>
    <phoneticPr fontId="3" type="noConversion"/>
  </si>
  <si>
    <t>3-055</t>
    <phoneticPr fontId="3" type="noConversion"/>
  </si>
  <si>
    <t>3-056</t>
    <phoneticPr fontId="3" type="noConversion"/>
  </si>
  <si>
    <t>3-057</t>
    <phoneticPr fontId="3" type="noConversion"/>
  </si>
  <si>
    <t>3-058</t>
    <phoneticPr fontId="3" type="noConversion"/>
  </si>
  <si>
    <t>3-059</t>
    <phoneticPr fontId="3" type="noConversion"/>
  </si>
  <si>
    <t>3-060</t>
    <phoneticPr fontId="3" type="noConversion"/>
  </si>
  <si>
    <t>3-061</t>
    <phoneticPr fontId="3" type="noConversion"/>
  </si>
  <si>
    <t>3-062</t>
    <phoneticPr fontId="3" type="noConversion"/>
  </si>
  <si>
    <t>3-063</t>
    <phoneticPr fontId="3" type="noConversion"/>
  </si>
  <si>
    <t>3-064</t>
    <phoneticPr fontId="3" type="noConversion"/>
  </si>
  <si>
    <t>3-065</t>
    <phoneticPr fontId="3" type="noConversion"/>
  </si>
  <si>
    <t>3-066</t>
    <phoneticPr fontId="3" type="noConversion"/>
  </si>
  <si>
    <t>3-067</t>
    <phoneticPr fontId="3" type="noConversion"/>
  </si>
  <si>
    <t>3-068</t>
    <phoneticPr fontId="3" type="noConversion"/>
  </si>
  <si>
    <t>3-069</t>
    <phoneticPr fontId="3" type="noConversion"/>
  </si>
  <si>
    <t>3-070</t>
    <phoneticPr fontId="3" type="noConversion"/>
  </si>
  <si>
    <t>3-071</t>
    <phoneticPr fontId="3" type="noConversion"/>
  </si>
  <si>
    <t>3-072</t>
    <phoneticPr fontId="3" type="noConversion"/>
  </si>
  <si>
    <t>3-073</t>
    <phoneticPr fontId="3" type="noConversion"/>
  </si>
  <si>
    <t>3-074</t>
    <phoneticPr fontId="3" type="noConversion"/>
  </si>
  <si>
    <t>3-075</t>
    <phoneticPr fontId="3" type="noConversion"/>
  </si>
  <si>
    <t>3-076</t>
    <phoneticPr fontId="3" type="noConversion"/>
  </si>
  <si>
    <t>3-077</t>
    <phoneticPr fontId="3" type="noConversion"/>
  </si>
  <si>
    <t>3-078</t>
    <phoneticPr fontId="3" type="noConversion"/>
  </si>
  <si>
    <t>3-079</t>
    <phoneticPr fontId="3" type="noConversion"/>
  </si>
  <si>
    <t>3-080</t>
    <phoneticPr fontId="3" type="noConversion"/>
  </si>
  <si>
    <t>3-081</t>
    <phoneticPr fontId="3" type="noConversion"/>
  </si>
  <si>
    <t>3-082</t>
    <phoneticPr fontId="3" type="noConversion"/>
  </si>
  <si>
    <t>3-083</t>
    <phoneticPr fontId="3" type="noConversion"/>
  </si>
  <si>
    <t>3-084</t>
    <phoneticPr fontId="3" type="noConversion"/>
  </si>
  <si>
    <t>3-085</t>
    <phoneticPr fontId="3" type="noConversion"/>
  </si>
  <si>
    <t>3-086</t>
    <phoneticPr fontId="3" type="noConversion"/>
  </si>
  <si>
    <t>3-087</t>
    <phoneticPr fontId="3" type="noConversion"/>
  </si>
  <si>
    <t>3-088</t>
    <phoneticPr fontId="3" type="noConversion"/>
  </si>
  <si>
    <t>3-089</t>
    <phoneticPr fontId="3" type="noConversion"/>
  </si>
  <si>
    <t>3-090</t>
    <phoneticPr fontId="3" type="noConversion"/>
  </si>
  <si>
    <t>3-091</t>
    <phoneticPr fontId="3" type="noConversion"/>
  </si>
  <si>
    <t>3-092</t>
    <phoneticPr fontId="3" type="noConversion"/>
  </si>
  <si>
    <t>3-093</t>
    <phoneticPr fontId="3" type="noConversion"/>
  </si>
  <si>
    <t>3-094</t>
    <phoneticPr fontId="3" type="noConversion"/>
  </si>
  <si>
    <t>3-095</t>
    <phoneticPr fontId="3" type="noConversion"/>
  </si>
  <si>
    <t>3-096</t>
    <phoneticPr fontId="3" type="noConversion"/>
  </si>
  <si>
    <t>3-097</t>
    <phoneticPr fontId="3" type="noConversion"/>
  </si>
  <si>
    <t>3-098</t>
    <phoneticPr fontId="3" type="noConversion"/>
  </si>
  <si>
    <t>3-099</t>
    <phoneticPr fontId="3" type="noConversion"/>
  </si>
  <si>
    <t>3-100</t>
    <phoneticPr fontId="3" type="noConversion"/>
  </si>
  <si>
    <t>3-101</t>
    <phoneticPr fontId="3" type="noConversion"/>
  </si>
  <si>
    <t>3-102</t>
    <phoneticPr fontId="3" type="noConversion"/>
  </si>
  <si>
    <t>3-103</t>
    <phoneticPr fontId="3" type="noConversion"/>
  </si>
  <si>
    <t>3-104</t>
    <phoneticPr fontId="3" type="noConversion"/>
  </si>
  <si>
    <t>3-105</t>
    <phoneticPr fontId="3" type="noConversion"/>
  </si>
  <si>
    <t>3-106</t>
    <phoneticPr fontId="3" type="noConversion"/>
  </si>
  <si>
    <t>3-107</t>
    <phoneticPr fontId="3" type="noConversion"/>
  </si>
  <si>
    <t>3-108</t>
    <phoneticPr fontId="3" type="noConversion"/>
  </si>
  <si>
    <t>3-109</t>
    <phoneticPr fontId="3" type="noConversion"/>
  </si>
  <si>
    <t>3-110</t>
    <phoneticPr fontId="3" type="noConversion"/>
  </si>
  <si>
    <t>3-111</t>
    <phoneticPr fontId="3" type="noConversion"/>
  </si>
  <si>
    <t>3-112</t>
    <phoneticPr fontId="3" type="noConversion"/>
  </si>
  <si>
    <t>3-113</t>
    <phoneticPr fontId="3" type="noConversion"/>
  </si>
  <si>
    <t>3-114</t>
    <phoneticPr fontId="3" type="noConversion"/>
  </si>
  <si>
    <t>3-115</t>
    <phoneticPr fontId="3" type="noConversion"/>
  </si>
  <si>
    <t>3-116</t>
    <phoneticPr fontId="3" type="noConversion"/>
  </si>
  <si>
    <t>3-117</t>
    <phoneticPr fontId="3" type="noConversion"/>
  </si>
  <si>
    <t>3-118</t>
    <phoneticPr fontId="3" type="noConversion"/>
  </si>
  <si>
    <t>3-119</t>
    <phoneticPr fontId="3" type="noConversion"/>
  </si>
  <si>
    <t>3-120</t>
    <phoneticPr fontId="3" type="noConversion"/>
  </si>
  <si>
    <t>3-121</t>
    <phoneticPr fontId="3" type="noConversion"/>
  </si>
  <si>
    <t>3-122</t>
    <phoneticPr fontId="3" type="noConversion"/>
  </si>
  <si>
    <t>3-123</t>
    <phoneticPr fontId="3" type="noConversion"/>
  </si>
  <si>
    <t>3-124</t>
    <phoneticPr fontId="3" type="noConversion"/>
  </si>
  <si>
    <t>3-125</t>
    <phoneticPr fontId="3" type="noConversion"/>
  </si>
  <si>
    <t>3-126</t>
    <phoneticPr fontId="3" type="noConversion"/>
  </si>
  <si>
    <t>3-127</t>
    <phoneticPr fontId="3" type="noConversion"/>
  </si>
  <si>
    <t>3-128</t>
    <phoneticPr fontId="3" type="noConversion"/>
  </si>
  <si>
    <t>3-129</t>
    <phoneticPr fontId="3" type="noConversion"/>
  </si>
  <si>
    <t>3-130</t>
    <phoneticPr fontId="3" type="noConversion"/>
  </si>
  <si>
    <t>3-131</t>
    <phoneticPr fontId="3" type="noConversion"/>
  </si>
  <si>
    <t>3-132</t>
    <phoneticPr fontId="3" type="noConversion"/>
  </si>
  <si>
    <t>3-133</t>
    <phoneticPr fontId="3" type="noConversion"/>
  </si>
  <si>
    <t>3-134</t>
    <phoneticPr fontId="3" type="noConversion"/>
  </si>
  <si>
    <t>3-135</t>
    <phoneticPr fontId="3" type="noConversion"/>
  </si>
  <si>
    <t>3-136</t>
    <phoneticPr fontId="3" type="noConversion"/>
  </si>
  <si>
    <t>3-137</t>
    <phoneticPr fontId="3" type="noConversion"/>
  </si>
  <si>
    <t>3-138</t>
    <phoneticPr fontId="3" type="noConversion"/>
  </si>
  <si>
    <t>3-139</t>
    <phoneticPr fontId="3" type="noConversion"/>
  </si>
  <si>
    <t>3-140</t>
    <phoneticPr fontId="3" type="noConversion"/>
  </si>
  <si>
    <t>3-141</t>
    <phoneticPr fontId="3" type="noConversion"/>
  </si>
  <si>
    <t>3-142</t>
    <phoneticPr fontId="3" type="noConversion"/>
  </si>
  <si>
    <t>3-143</t>
    <phoneticPr fontId="3" type="noConversion"/>
  </si>
  <si>
    <t>3-144</t>
    <phoneticPr fontId="3" type="noConversion"/>
  </si>
  <si>
    <t>3-145</t>
    <phoneticPr fontId="3" type="noConversion"/>
  </si>
  <si>
    <t>3-146</t>
    <phoneticPr fontId="3" type="noConversion"/>
  </si>
  <si>
    <t>3-147</t>
    <phoneticPr fontId="3" type="noConversion"/>
  </si>
  <si>
    <t>3-148</t>
    <phoneticPr fontId="3" type="noConversion"/>
  </si>
  <si>
    <t>3-149</t>
    <phoneticPr fontId="3" type="noConversion"/>
  </si>
  <si>
    <t>3-150</t>
    <phoneticPr fontId="3" type="noConversion"/>
  </si>
  <si>
    <t>3-151</t>
    <phoneticPr fontId="3" type="noConversion"/>
  </si>
  <si>
    <t>3-152</t>
    <phoneticPr fontId="3" type="noConversion"/>
  </si>
  <si>
    <t>3-153</t>
    <phoneticPr fontId="3" type="noConversion"/>
  </si>
  <si>
    <t>3-154</t>
    <phoneticPr fontId="3" type="noConversion"/>
  </si>
  <si>
    <t>3-155</t>
    <phoneticPr fontId="3" type="noConversion"/>
  </si>
  <si>
    <t>3-156</t>
    <phoneticPr fontId="3" type="noConversion"/>
  </si>
  <si>
    <t>3-157</t>
    <phoneticPr fontId="3" type="noConversion"/>
  </si>
  <si>
    <t>3-158</t>
    <phoneticPr fontId="3" type="noConversion"/>
  </si>
  <si>
    <t>3-159</t>
    <phoneticPr fontId="3" type="noConversion"/>
  </si>
  <si>
    <t>3-160</t>
    <phoneticPr fontId="3" type="noConversion"/>
  </si>
  <si>
    <t>3-161</t>
    <phoneticPr fontId="3" type="noConversion"/>
  </si>
  <si>
    <t>3-162</t>
    <phoneticPr fontId="3" type="noConversion"/>
  </si>
  <si>
    <t>3-163</t>
    <phoneticPr fontId="3" type="noConversion"/>
  </si>
  <si>
    <t>3-164</t>
    <phoneticPr fontId="3" type="noConversion"/>
  </si>
  <si>
    <t>3-165</t>
    <phoneticPr fontId="3" type="noConversion"/>
  </si>
  <si>
    <t>3-166</t>
    <phoneticPr fontId="3" type="noConversion"/>
  </si>
  <si>
    <t>3-167</t>
    <phoneticPr fontId="3" type="noConversion"/>
  </si>
  <si>
    <t>3-168</t>
    <phoneticPr fontId="3" type="noConversion"/>
  </si>
  <si>
    <t>3-169</t>
    <phoneticPr fontId="3" type="noConversion"/>
  </si>
  <si>
    <t>3-170</t>
    <phoneticPr fontId="3" type="noConversion"/>
  </si>
  <si>
    <t>3-171</t>
    <phoneticPr fontId="3" type="noConversion"/>
  </si>
  <si>
    <t>3-172</t>
    <phoneticPr fontId="3" type="noConversion"/>
  </si>
  <si>
    <t>3-173</t>
    <phoneticPr fontId="3" type="noConversion"/>
  </si>
  <si>
    <t>3-174</t>
    <phoneticPr fontId="3" type="noConversion"/>
  </si>
  <si>
    <t>3-175</t>
    <phoneticPr fontId="3" type="noConversion"/>
  </si>
  <si>
    <t>3-176</t>
    <phoneticPr fontId="3" type="noConversion"/>
  </si>
  <si>
    <t>3-177</t>
    <phoneticPr fontId="3" type="noConversion"/>
  </si>
  <si>
    <t>3-178</t>
    <phoneticPr fontId="3" type="noConversion"/>
  </si>
  <si>
    <t>3-179</t>
    <phoneticPr fontId="3" type="noConversion"/>
  </si>
  <si>
    <t>3-180</t>
    <phoneticPr fontId="3" type="noConversion"/>
  </si>
  <si>
    <t>3-181</t>
    <phoneticPr fontId="3" type="noConversion"/>
  </si>
  <si>
    <t>3-182</t>
    <phoneticPr fontId="3" type="noConversion"/>
  </si>
  <si>
    <t>3-183</t>
    <phoneticPr fontId="3" type="noConversion"/>
  </si>
  <si>
    <t>3-184</t>
    <phoneticPr fontId="3" type="noConversion"/>
  </si>
  <si>
    <t>3-185</t>
    <phoneticPr fontId="3" type="noConversion"/>
  </si>
  <si>
    <t>3-186</t>
    <phoneticPr fontId="3" type="noConversion"/>
  </si>
  <si>
    <t>3-187</t>
    <phoneticPr fontId="3" type="noConversion"/>
  </si>
  <si>
    <t>3-188</t>
    <phoneticPr fontId="3" type="noConversion"/>
  </si>
  <si>
    <t>3-189</t>
    <phoneticPr fontId="3" type="noConversion"/>
  </si>
  <si>
    <t>3-190</t>
    <phoneticPr fontId="3" type="noConversion"/>
  </si>
  <si>
    <t>3-191</t>
    <phoneticPr fontId="3" type="noConversion"/>
  </si>
  <si>
    <t>3-192</t>
    <phoneticPr fontId="3" type="noConversion"/>
  </si>
  <si>
    <t>3-193</t>
    <phoneticPr fontId="3" type="noConversion"/>
  </si>
  <si>
    <t>3-194</t>
    <phoneticPr fontId="3" type="noConversion"/>
  </si>
  <si>
    <t>3-195</t>
    <phoneticPr fontId="3" type="noConversion"/>
  </si>
  <si>
    <t>3-196</t>
    <phoneticPr fontId="3" type="noConversion"/>
  </si>
  <si>
    <t>3-197</t>
    <phoneticPr fontId="3" type="noConversion"/>
  </si>
  <si>
    <t>3-198</t>
    <phoneticPr fontId="3" type="noConversion"/>
  </si>
  <si>
    <t>3-199</t>
    <phoneticPr fontId="3" type="noConversion"/>
  </si>
  <si>
    <t>3-200</t>
    <phoneticPr fontId="3" type="noConversion"/>
  </si>
  <si>
    <t>3-201</t>
    <phoneticPr fontId="3" type="noConversion"/>
  </si>
  <si>
    <t>3-202</t>
    <phoneticPr fontId="3" type="noConversion"/>
  </si>
  <si>
    <t>3-203</t>
    <phoneticPr fontId="3" type="noConversion"/>
  </si>
  <si>
    <t>3-204</t>
    <phoneticPr fontId="3" type="noConversion"/>
  </si>
  <si>
    <t>3-205</t>
    <phoneticPr fontId="3" type="noConversion"/>
  </si>
  <si>
    <t>3-206</t>
    <phoneticPr fontId="3" type="noConversion"/>
  </si>
  <si>
    <t>3-207</t>
    <phoneticPr fontId="3" type="noConversion"/>
  </si>
  <si>
    <t>3-208</t>
    <phoneticPr fontId="3" type="noConversion"/>
  </si>
  <si>
    <t>3-209</t>
    <phoneticPr fontId="3" type="noConversion"/>
  </si>
  <si>
    <t>3-210</t>
    <phoneticPr fontId="3" type="noConversion"/>
  </si>
  <si>
    <t>3-211</t>
    <phoneticPr fontId="3" type="noConversion"/>
  </si>
  <si>
    <t>3-212</t>
    <phoneticPr fontId="3" type="noConversion"/>
  </si>
  <si>
    <t>3-213</t>
    <phoneticPr fontId="3" type="noConversion"/>
  </si>
  <si>
    <t>3-214</t>
    <phoneticPr fontId="3" type="noConversion"/>
  </si>
  <si>
    <t>3-215</t>
    <phoneticPr fontId="3" type="noConversion"/>
  </si>
  <si>
    <t>3-216</t>
    <phoneticPr fontId="3" type="noConversion"/>
  </si>
  <si>
    <t>3-217</t>
    <phoneticPr fontId="3" type="noConversion"/>
  </si>
  <si>
    <t>3-218</t>
    <phoneticPr fontId="3" type="noConversion"/>
  </si>
  <si>
    <t>3-219</t>
    <phoneticPr fontId="3" type="noConversion"/>
  </si>
  <si>
    <t>3-220</t>
    <phoneticPr fontId="3" type="noConversion"/>
  </si>
  <si>
    <t>3-221</t>
    <phoneticPr fontId="3" type="noConversion"/>
  </si>
  <si>
    <t>3-222</t>
    <phoneticPr fontId="3" type="noConversion"/>
  </si>
  <si>
    <t>3-223</t>
    <phoneticPr fontId="3" type="noConversion"/>
  </si>
  <si>
    <t>3-224</t>
    <phoneticPr fontId="3" type="noConversion"/>
  </si>
  <si>
    <t>3-225</t>
    <phoneticPr fontId="3" type="noConversion"/>
  </si>
  <si>
    <t>3-226</t>
    <phoneticPr fontId="3" type="noConversion"/>
  </si>
  <si>
    <t>3-227</t>
    <phoneticPr fontId="3" type="noConversion"/>
  </si>
  <si>
    <t>3-228</t>
    <phoneticPr fontId="3" type="noConversion"/>
  </si>
  <si>
    <t>3-229</t>
    <phoneticPr fontId="3" type="noConversion"/>
  </si>
  <si>
    <t>3-230</t>
    <phoneticPr fontId="3" type="noConversion"/>
  </si>
  <si>
    <t>3-231</t>
    <phoneticPr fontId="3" type="noConversion"/>
  </si>
  <si>
    <t>3-232</t>
    <phoneticPr fontId="3" type="noConversion"/>
  </si>
  <si>
    <t>3-233</t>
    <phoneticPr fontId="3" type="noConversion"/>
  </si>
  <si>
    <t>3-234</t>
    <phoneticPr fontId="3" type="noConversion"/>
  </si>
  <si>
    <t>3-235</t>
    <phoneticPr fontId="3" type="noConversion"/>
  </si>
  <si>
    <t>3-236</t>
    <phoneticPr fontId="3" type="noConversion"/>
  </si>
  <si>
    <t>3-237</t>
    <phoneticPr fontId="3" type="noConversion"/>
  </si>
  <si>
    <t>3-238</t>
    <phoneticPr fontId="3" type="noConversion"/>
  </si>
  <si>
    <t>3-239</t>
    <phoneticPr fontId="3" type="noConversion"/>
  </si>
  <si>
    <t>3-240</t>
    <phoneticPr fontId="3" type="noConversion"/>
  </si>
  <si>
    <t>3-241</t>
    <phoneticPr fontId="3" type="noConversion"/>
  </si>
  <si>
    <t>3-242</t>
    <phoneticPr fontId="3" type="noConversion"/>
  </si>
  <si>
    <t>3-243</t>
    <phoneticPr fontId="3" type="noConversion"/>
  </si>
  <si>
    <t>3-244</t>
    <phoneticPr fontId="3" type="noConversion"/>
  </si>
  <si>
    <t>3-245</t>
    <phoneticPr fontId="3" type="noConversion"/>
  </si>
  <si>
    <t>3-246</t>
    <phoneticPr fontId="3" type="noConversion"/>
  </si>
  <si>
    <t>3-247</t>
    <phoneticPr fontId="3" type="noConversion"/>
  </si>
  <si>
    <t>3-248</t>
    <phoneticPr fontId="3" type="noConversion"/>
  </si>
  <si>
    <t>3-249</t>
    <phoneticPr fontId="3" type="noConversion"/>
  </si>
  <si>
    <t>3-250</t>
    <phoneticPr fontId="3" type="noConversion"/>
  </si>
  <si>
    <t>3-251</t>
    <phoneticPr fontId="3" type="noConversion"/>
  </si>
  <si>
    <t>3-252</t>
    <phoneticPr fontId="3" type="noConversion"/>
  </si>
  <si>
    <t>3-253</t>
    <phoneticPr fontId="3" type="noConversion"/>
  </si>
  <si>
    <t>3-254</t>
    <phoneticPr fontId="3" type="noConversion"/>
  </si>
  <si>
    <t>3-255</t>
    <phoneticPr fontId="3" type="noConversion"/>
  </si>
  <si>
    <t>3-256</t>
    <phoneticPr fontId="3" type="noConversion"/>
  </si>
  <si>
    <t>3-257</t>
    <phoneticPr fontId="3" type="noConversion"/>
  </si>
  <si>
    <t>3-258</t>
    <phoneticPr fontId="3" type="noConversion"/>
  </si>
  <si>
    <t>3-259</t>
    <phoneticPr fontId="3" type="noConversion"/>
  </si>
  <si>
    <t>3-260</t>
    <phoneticPr fontId="3" type="noConversion"/>
  </si>
  <si>
    <t>3-261</t>
    <phoneticPr fontId="3" type="noConversion"/>
  </si>
  <si>
    <t>3-262</t>
    <phoneticPr fontId="3" type="noConversion"/>
  </si>
  <si>
    <t>3-263</t>
    <phoneticPr fontId="3" type="noConversion"/>
  </si>
  <si>
    <t>3-264</t>
    <phoneticPr fontId="3" type="noConversion"/>
  </si>
  <si>
    <t>3-265</t>
    <phoneticPr fontId="3" type="noConversion"/>
  </si>
  <si>
    <t>3-266</t>
    <phoneticPr fontId="3" type="noConversion"/>
  </si>
  <si>
    <t>3-267</t>
    <phoneticPr fontId="3" type="noConversion"/>
  </si>
  <si>
    <t>3-268</t>
    <phoneticPr fontId="3" type="noConversion"/>
  </si>
  <si>
    <t>3-269</t>
    <phoneticPr fontId="3" type="noConversion"/>
  </si>
  <si>
    <t>3-270</t>
    <phoneticPr fontId="3" type="noConversion"/>
  </si>
  <si>
    <t>3-271</t>
    <phoneticPr fontId="3" type="noConversion"/>
  </si>
  <si>
    <t>3-272</t>
    <phoneticPr fontId="3" type="noConversion"/>
  </si>
  <si>
    <t>3-273</t>
    <phoneticPr fontId="3" type="noConversion"/>
  </si>
  <si>
    <t>3-274</t>
    <phoneticPr fontId="3" type="noConversion"/>
  </si>
  <si>
    <t>3-275</t>
    <phoneticPr fontId="3" type="noConversion"/>
  </si>
  <si>
    <t>3-276</t>
    <phoneticPr fontId="3" type="noConversion"/>
  </si>
  <si>
    <t>3-277</t>
    <phoneticPr fontId="3" type="noConversion"/>
  </si>
  <si>
    <t>3-278</t>
    <phoneticPr fontId="3" type="noConversion"/>
  </si>
  <si>
    <t>3-279</t>
    <phoneticPr fontId="3" type="noConversion"/>
  </si>
  <si>
    <t>3-280</t>
    <phoneticPr fontId="3" type="noConversion"/>
  </si>
  <si>
    <t>3-281</t>
    <phoneticPr fontId="3" type="noConversion"/>
  </si>
  <si>
    <t>3-282</t>
    <phoneticPr fontId="3" type="noConversion"/>
  </si>
  <si>
    <t>3-283</t>
    <phoneticPr fontId="3" type="noConversion"/>
  </si>
  <si>
    <t>3-284</t>
    <phoneticPr fontId="3" type="noConversion"/>
  </si>
  <si>
    <t>3-285</t>
    <phoneticPr fontId="3" type="noConversion"/>
  </si>
  <si>
    <t>3-286</t>
    <phoneticPr fontId="3" type="noConversion"/>
  </si>
  <si>
    <t>3-287</t>
    <phoneticPr fontId="3" type="noConversion"/>
  </si>
  <si>
    <t>3-288</t>
    <phoneticPr fontId="3" type="noConversion"/>
  </si>
  <si>
    <t>3-289</t>
    <phoneticPr fontId="3" type="noConversion"/>
  </si>
  <si>
    <t>3-290</t>
    <phoneticPr fontId="3" type="noConversion"/>
  </si>
  <si>
    <t>3-291</t>
    <phoneticPr fontId="3" type="noConversion"/>
  </si>
  <si>
    <t>3-292</t>
    <phoneticPr fontId="3" type="noConversion"/>
  </si>
  <si>
    <t>3-293</t>
    <phoneticPr fontId="3" type="noConversion"/>
  </si>
  <si>
    <t>3-294</t>
    <phoneticPr fontId="3" type="noConversion"/>
  </si>
  <si>
    <t>3-295</t>
    <phoneticPr fontId="3" type="noConversion"/>
  </si>
  <si>
    <t>3-296</t>
    <phoneticPr fontId="3" type="noConversion"/>
  </si>
  <si>
    <t>3-297</t>
    <phoneticPr fontId="3" type="noConversion"/>
  </si>
  <si>
    <t>3-298</t>
    <phoneticPr fontId="3" type="noConversion"/>
  </si>
  <si>
    <t>3-299</t>
    <phoneticPr fontId="3" type="noConversion"/>
  </si>
  <si>
    <t>3-300</t>
    <phoneticPr fontId="3" type="noConversion"/>
  </si>
  <si>
    <t>3-301</t>
    <phoneticPr fontId="3" type="noConversion"/>
  </si>
  <si>
    <t>3-302</t>
    <phoneticPr fontId="3" type="noConversion"/>
  </si>
  <si>
    <t>3-303</t>
    <phoneticPr fontId="3" type="noConversion"/>
  </si>
  <si>
    <t>3-304</t>
    <phoneticPr fontId="3" type="noConversion"/>
  </si>
  <si>
    <t>3-305</t>
    <phoneticPr fontId="3" type="noConversion"/>
  </si>
  <si>
    <t>3-306</t>
    <phoneticPr fontId="3" type="noConversion"/>
  </si>
  <si>
    <t>3-307</t>
    <phoneticPr fontId="3" type="noConversion"/>
  </si>
  <si>
    <t>3-308</t>
    <phoneticPr fontId="3" type="noConversion"/>
  </si>
  <si>
    <t>3-309</t>
    <phoneticPr fontId="3" type="noConversion"/>
  </si>
  <si>
    <t>3-310</t>
    <phoneticPr fontId="3" type="noConversion"/>
  </si>
  <si>
    <t>3-311</t>
    <phoneticPr fontId="3" type="noConversion"/>
  </si>
  <si>
    <t>3-312</t>
    <phoneticPr fontId="3" type="noConversion"/>
  </si>
  <si>
    <t>3-313</t>
    <phoneticPr fontId="3" type="noConversion"/>
  </si>
  <si>
    <t>3-314</t>
    <phoneticPr fontId="3" type="noConversion"/>
  </si>
  <si>
    <t>3-315</t>
    <phoneticPr fontId="3" type="noConversion"/>
  </si>
  <si>
    <t>3-316</t>
    <phoneticPr fontId="3" type="noConversion"/>
  </si>
  <si>
    <t>3-317</t>
    <phoneticPr fontId="3" type="noConversion"/>
  </si>
  <si>
    <t>3-318</t>
    <phoneticPr fontId="3" type="noConversion"/>
  </si>
  <si>
    <t>3-319</t>
    <phoneticPr fontId="3" type="noConversion"/>
  </si>
  <si>
    <t>3-320</t>
    <phoneticPr fontId="3" type="noConversion"/>
  </si>
  <si>
    <t>3-321</t>
    <phoneticPr fontId="3" type="noConversion"/>
  </si>
  <si>
    <t>3-322</t>
    <phoneticPr fontId="3" type="noConversion"/>
  </si>
  <si>
    <t>3-323</t>
    <phoneticPr fontId="3" type="noConversion"/>
  </si>
  <si>
    <t>3-324</t>
    <phoneticPr fontId="3" type="noConversion"/>
  </si>
  <si>
    <t>3-325</t>
    <phoneticPr fontId="3" type="noConversion"/>
  </si>
  <si>
    <t>3-326</t>
    <phoneticPr fontId="3" type="noConversion"/>
  </si>
  <si>
    <t>3-327</t>
    <phoneticPr fontId="3" type="noConversion"/>
  </si>
  <si>
    <t>3-328</t>
    <phoneticPr fontId="3" type="noConversion"/>
  </si>
  <si>
    <t>3-329</t>
    <phoneticPr fontId="3" type="noConversion"/>
  </si>
  <si>
    <t>3-330</t>
    <phoneticPr fontId="3" type="noConversion"/>
  </si>
  <si>
    <t>3-331</t>
    <phoneticPr fontId="3" type="noConversion"/>
  </si>
  <si>
    <t>3-332</t>
    <phoneticPr fontId="3" type="noConversion"/>
  </si>
  <si>
    <t>3-333</t>
    <phoneticPr fontId="3" type="noConversion"/>
  </si>
  <si>
    <t>3-334</t>
    <phoneticPr fontId="3" type="noConversion"/>
  </si>
  <si>
    <t>3-335</t>
    <phoneticPr fontId="3" type="noConversion"/>
  </si>
  <si>
    <t>3-336</t>
    <phoneticPr fontId="3" type="noConversion"/>
  </si>
  <si>
    <t>3-337</t>
    <phoneticPr fontId="3" type="noConversion"/>
  </si>
  <si>
    <t>3-338</t>
    <phoneticPr fontId="3" type="noConversion"/>
  </si>
  <si>
    <t>3-339</t>
    <phoneticPr fontId="3" type="noConversion"/>
  </si>
  <si>
    <t>3-340</t>
    <phoneticPr fontId="3" type="noConversion"/>
  </si>
  <si>
    <t>3-341</t>
    <phoneticPr fontId="3" type="noConversion"/>
  </si>
  <si>
    <t>3-342</t>
    <phoneticPr fontId="3" type="noConversion"/>
  </si>
  <si>
    <t>3-343</t>
    <phoneticPr fontId="3" type="noConversion"/>
  </si>
  <si>
    <t>3-344</t>
    <phoneticPr fontId="3" type="noConversion"/>
  </si>
  <si>
    <t>3-345</t>
    <phoneticPr fontId="3" type="noConversion"/>
  </si>
  <si>
    <t>3-346</t>
    <phoneticPr fontId="3" type="noConversion"/>
  </si>
  <si>
    <t>3-347</t>
    <phoneticPr fontId="3" type="noConversion"/>
  </si>
  <si>
    <t>3-348</t>
    <phoneticPr fontId="3" type="noConversion"/>
  </si>
  <si>
    <t>3-349</t>
    <phoneticPr fontId="3" type="noConversion"/>
  </si>
  <si>
    <t>3-350</t>
    <phoneticPr fontId="3" type="noConversion"/>
  </si>
  <si>
    <t>3-351</t>
    <phoneticPr fontId="3" type="noConversion"/>
  </si>
  <si>
    <t>3-352</t>
    <phoneticPr fontId="3" type="noConversion"/>
  </si>
  <si>
    <t>3-353</t>
    <phoneticPr fontId="3" type="noConversion"/>
  </si>
  <si>
    <t>3-354</t>
    <phoneticPr fontId="3" type="noConversion"/>
  </si>
  <si>
    <t>3-355</t>
    <phoneticPr fontId="3" type="noConversion"/>
  </si>
  <si>
    <t>3-356</t>
    <phoneticPr fontId="3" type="noConversion"/>
  </si>
  <si>
    <t>3-357</t>
    <phoneticPr fontId="3" type="noConversion"/>
  </si>
  <si>
    <t>3-358</t>
    <phoneticPr fontId="3" type="noConversion"/>
  </si>
  <si>
    <t>3-359</t>
    <phoneticPr fontId="3" type="noConversion"/>
  </si>
  <si>
    <t>3-360</t>
    <phoneticPr fontId="3" type="noConversion"/>
  </si>
  <si>
    <t>3-361</t>
    <phoneticPr fontId="3" type="noConversion"/>
  </si>
  <si>
    <t>3-362</t>
    <phoneticPr fontId="3" type="noConversion"/>
  </si>
  <si>
    <t>3-363</t>
    <phoneticPr fontId="3" type="noConversion"/>
  </si>
  <si>
    <t>3-364</t>
    <phoneticPr fontId="3" type="noConversion"/>
  </si>
  <si>
    <t>3-365</t>
    <phoneticPr fontId="3" type="noConversion"/>
  </si>
  <si>
    <t>3-366</t>
    <phoneticPr fontId="3" type="noConversion"/>
  </si>
  <si>
    <t>3-369</t>
    <phoneticPr fontId="3" type="noConversion"/>
  </si>
  <si>
    <t>3-370</t>
    <phoneticPr fontId="3" type="noConversion"/>
  </si>
  <si>
    <t>3-371</t>
    <phoneticPr fontId="3" type="noConversion"/>
  </si>
  <si>
    <t>3-372</t>
    <phoneticPr fontId="3" type="noConversion"/>
  </si>
  <si>
    <t>3-373</t>
    <phoneticPr fontId="3" type="noConversion"/>
  </si>
  <si>
    <t>3-374</t>
    <phoneticPr fontId="3" type="noConversion"/>
  </si>
  <si>
    <t>3-375</t>
    <phoneticPr fontId="3" type="noConversion"/>
  </si>
  <si>
    <t>3-376</t>
    <phoneticPr fontId="3" type="noConversion"/>
  </si>
  <si>
    <t>3-377</t>
    <phoneticPr fontId="3" type="noConversion"/>
  </si>
  <si>
    <t>3-378</t>
    <phoneticPr fontId="3" type="noConversion"/>
  </si>
  <si>
    <t>3-379</t>
    <phoneticPr fontId="3" type="noConversion"/>
  </si>
  <si>
    <t>3-380</t>
    <phoneticPr fontId="3" type="noConversion"/>
  </si>
  <si>
    <t>3-381</t>
    <phoneticPr fontId="3" type="noConversion"/>
  </si>
  <si>
    <t>3-382</t>
    <phoneticPr fontId="3" type="noConversion"/>
  </si>
  <si>
    <t>3-383</t>
    <phoneticPr fontId="3" type="noConversion"/>
  </si>
  <si>
    <t>3-384</t>
    <phoneticPr fontId="3" type="noConversion"/>
  </si>
  <si>
    <t>3-385</t>
    <phoneticPr fontId="3" type="noConversion"/>
  </si>
  <si>
    <t>3-386</t>
    <phoneticPr fontId="3" type="noConversion"/>
  </si>
  <si>
    <t>3-387</t>
    <phoneticPr fontId="3" type="noConversion"/>
  </si>
  <si>
    <t>3-388</t>
    <phoneticPr fontId="3" type="noConversion"/>
  </si>
  <si>
    <t>3-389</t>
    <phoneticPr fontId="3" type="noConversion"/>
  </si>
  <si>
    <t>3-390</t>
    <phoneticPr fontId="3" type="noConversion"/>
  </si>
  <si>
    <t>3-391</t>
    <phoneticPr fontId="3" type="noConversion"/>
  </si>
  <si>
    <t>3-392</t>
    <phoneticPr fontId="3" type="noConversion"/>
  </si>
  <si>
    <t>3-393</t>
    <phoneticPr fontId="3" type="noConversion"/>
  </si>
  <si>
    <t>3-394</t>
    <phoneticPr fontId="3" type="noConversion"/>
  </si>
  <si>
    <t>3-395</t>
    <phoneticPr fontId="3" type="noConversion"/>
  </si>
  <si>
    <t>3-396</t>
    <phoneticPr fontId="3" type="noConversion"/>
  </si>
  <si>
    <t>3-399</t>
    <phoneticPr fontId="3" type="noConversion"/>
  </si>
  <si>
    <t>3-400</t>
    <phoneticPr fontId="3" type="noConversion"/>
  </si>
  <si>
    <t>3-401</t>
    <phoneticPr fontId="3" type="noConversion"/>
  </si>
  <si>
    <t>3-402</t>
    <phoneticPr fontId="3" type="noConversion"/>
  </si>
  <si>
    <t>3-403</t>
    <phoneticPr fontId="3" type="noConversion"/>
  </si>
  <si>
    <t>3-404</t>
    <phoneticPr fontId="3" type="noConversion"/>
  </si>
  <si>
    <t>3-405</t>
    <phoneticPr fontId="3" type="noConversion"/>
  </si>
  <si>
    <t>3-406</t>
    <phoneticPr fontId="3" type="noConversion"/>
  </si>
  <si>
    <t>3-407</t>
    <phoneticPr fontId="3" type="noConversion"/>
  </si>
  <si>
    <t>3-408</t>
    <phoneticPr fontId="3" type="noConversion"/>
  </si>
  <si>
    <t>3-409</t>
    <phoneticPr fontId="3" type="noConversion"/>
  </si>
  <si>
    <t>3-410</t>
    <phoneticPr fontId="3" type="noConversion"/>
  </si>
  <si>
    <t>3-411</t>
    <phoneticPr fontId="3" type="noConversion"/>
  </si>
  <si>
    <t>3-412</t>
    <phoneticPr fontId="3" type="noConversion"/>
  </si>
  <si>
    <t>3-413</t>
    <phoneticPr fontId="3" type="noConversion"/>
  </si>
  <si>
    <t>3-414</t>
    <phoneticPr fontId="3" type="noConversion"/>
  </si>
  <si>
    <t>3-415</t>
    <phoneticPr fontId="3" type="noConversion"/>
  </si>
  <si>
    <t>3-416</t>
    <phoneticPr fontId="3" type="noConversion"/>
  </si>
  <si>
    <t>3-417</t>
    <phoneticPr fontId="3" type="noConversion"/>
  </si>
  <si>
    <t>3-418</t>
    <phoneticPr fontId="3" type="noConversion"/>
  </si>
  <si>
    <t>3-419</t>
    <phoneticPr fontId="3" type="noConversion"/>
  </si>
  <si>
    <t>3-420</t>
    <phoneticPr fontId="3" type="noConversion"/>
  </si>
  <si>
    <t>3-421</t>
    <phoneticPr fontId="3" type="noConversion"/>
  </si>
  <si>
    <t>3-422</t>
    <phoneticPr fontId="3" type="noConversion"/>
  </si>
  <si>
    <t>3-423</t>
    <phoneticPr fontId="3" type="noConversion"/>
  </si>
  <si>
    <t>3-424</t>
    <phoneticPr fontId="3" type="noConversion"/>
  </si>
  <si>
    <t>3-425</t>
    <phoneticPr fontId="3" type="noConversion"/>
  </si>
  <si>
    <t>3-426</t>
    <phoneticPr fontId="3" type="noConversion"/>
  </si>
  <si>
    <t>房产证面积：</t>
    <phoneticPr fontId="143" type="noConversion"/>
  </si>
  <si>
    <t>1号楼</t>
    <phoneticPr fontId="143" type="noConversion"/>
  </si>
  <si>
    <t>2号楼</t>
    <phoneticPr fontId="143" type="noConversion"/>
  </si>
  <si>
    <t>10号楼</t>
  </si>
  <si>
    <t>11号楼</t>
  </si>
  <si>
    <t>12号楼</t>
  </si>
  <si>
    <t>16号楼</t>
  </si>
  <si>
    <t>总土地面积</t>
    <phoneticPr fontId="143" type="noConversion"/>
  </si>
  <si>
    <t>总建筑面积</t>
    <phoneticPr fontId="143" type="noConversion"/>
  </si>
  <si>
    <t>本次抵押面积</t>
    <phoneticPr fontId="143" type="noConversion"/>
  </si>
  <si>
    <t>本次分摊土地面积</t>
    <phoneticPr fontId="143" type="noConversion"/>
  </si>
  <si>
    <t>2018-1-0626</t>
    <phoneticPr fontId="6" type="noConversion"/>
  </si>
  <si>
    <t>吴薇</t>
  </si>
  <si>
    <t>郑燚</t>
  </si>
  <si>
    <t>北京赫华恒瑞房地产开发有限公司</t>
    <phoneticPr fontId="6" type="noConversion"/>
  </si>
  <si>
    <t>中信银行</t>
    <phoneticPr fontId="6" type="noConversion"/>
  </si>
  <si>
    <t>抵押</t>
  </si>
  <si>
    <t>房地产抵押价值</t>
  </si>
  <si>
    <t>北京市</t>
  </si>
  <si>
    <t>企业</t>
  </si>
  <si>
    <r>
      <rPr>
        <sz val="12"/>
        <color theme="9" tint="-0.249977111117893"/>
        <rFont val="宋体"/>
        <family val="3"/>
        <charset val="134"/>
      </rPr>
      <t>海淀区万柳华府北街</t>
    </r>
    <r>
      <rPr>
        <sz val="12"/>
        <color theme="9" tint="-0.249977111117893"/>
        <rFont val="Arial"/>
        <family val="2"/>
      </rPr>
      <t>9</t>
    </r>
    <r>
      <rPr>
        <sz val="12"/>
        <color theme="9" tint="-0.249977111117893"/>
        <rFont val="宋体"/>
        <family val="3"/>
        <charset val="134"/>
      </rPr>
      <t>号院</t>
    </r>
    <phoneticPr fontId="6" type="noConversion"/>
  </si>
  <si>
    <t>出让</t>
  </si>
  <si>
    <t>住宅、地下车库</t>
    <phoneticPr fontId="6" type="noConversion"/>
  </si>
  <si>
    <r>
      <rPr>
        <sz val="12"/>
        <color theme="9" tint="-0.249977111117893"/>
        <rFont val="宋体"/>
        <family val="3"/>
        <charset val="134"/>
      </rPr>
      <t>住宅</t>
    </r>
    <r>
      <rPr>
        <sz val="12"/>
        <color theme="9" tint="-0.249977111117893"/>
        <rFont val="Arial"/>
        <family val="2"/>
      </rPr>
      <t>63.7</t>
    </r>
    <r>
      <rPr>
        <sz val="12"/>
        <color theme="9" tint="-0.249977111117893"/>
        <rFont val="宋体"/>
        <family val="3"/>
        <charset val="134"/>
      </rPr>
      <t>年、地下车库</t>
    </r>
    <r>
      <rPr>
        <sz val="12"/>
        <color theme="9" tint="-0.249977111117893"/>
        <rFont val="Arial"/>
        <family val="2"/>
      </rPr>
      <t>43.7</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</si>
  <si>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00175</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</si>
  <si>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phoneticPr fontId="6" type="noConversion"/>
  </si>
  <si>
    <t>居住项目</t>
  </si>
  <si>
    <t>现房</t>
  </si>
  <si>
    <t>通路</t>
  </si>
  <si>
    <t>通电</t>
  </si>
  <si>
    <t>通讯</t>
  </si>
  <si>
    <t>通上水</t>
  </si>
  <si>
    <t>通下水</t>
  </si>
  <si>
    <t>燃气</t>
  </si>
  <si>
    <t>通热</t>
  </si>
  <si>
    <t>是</t>
  </si>
  <si>
    <t>成新度</t>
  </si>
  <si>
    <t>收益法</t>
  </si>
  <si>
    <t>钢混</t>
  </si>
  <si>
    <t>非生产用房</t>
  </si>
  <si>
    <t>按租金收入计税</t>
  </si>
  <si>
    <t>居住用地（指二类居住用地）</t>
  </si>
  <si>
    <t>七通一平</t>
  </si>
  <si>
    <t>一致</t>
  </si>
  <si>
    <t>地价指数</t>
  </si>
  <si>
    <t>容积率修正</t>
  </si>
  <si>
    <t>全部缴纳</t>
  </si>
  <si>
    <t>已包含在土地取得成本中</t>
  </si>
  <si>
    <t>未包含在土地购买价格中</t>
  </si>
  <si>
    <t>估价对象周边居住用地比例较大，分布有万泉新新家园、万柳华府、万柳星标家园等居住社区。区域内社区配套完善程度好、入住率较高，综合考虑居住社区成熟度较好。</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</si>
  <si>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万柳华府北街</t>
    </r>
    <phoneticPr fontId="25" type="noConversion"/>
  </si>
  <si>
    <t>较好</t>
  </si>
  <si>
    <t>好</t>
  </si>
  <si>
    <t>周边多为居住用地，区域土地利用方向较为一致。</t>
    <phoneticPr fontId="25" type="noConversion"/>
  </si>
  <si>
    <t>较差</t>
  </si>
  <si>
    <t>宗地形状较规则，对宗地利用无不利影响。</t>
    <phoneticPr fontId="79" type="noConversion"/>
  </si>
  <si>
    <t>押一</t>
  </si>
  <si>
    <t>项目局部</t>
  </si>
  <si>
    <t>可抵押面积</t>
  </si>
  <si>
    <t>本次评估抵押套数</t>
  </si>
  <si>
    <t>房屋总面积</t>
  </si>
  <si>
    <t>房屋套数</t>
  </si>
  <si>
    <t>已售套数</t>
  </si>
  <si>
    <t>已售面积</t>
  </si>
  <si>
    <t>17幢车位</t>
  </si>
  <si>
    <t>房屋合计</t>
  </si>
  <si>
    <t>车位</t>
  </si>
  <si>
    <t>总计</t>
  </si>
  <si>
    <t>地上</t>
  </si>
  <si>
    <t>基准户型</t>
  </si>
  <si>
    <t>基准户型</t>
    <phoneticPr fontId="7" type="noConversion"/>
  </si>
  <si>
    <t>其余住宅</t>
    <phoneticPr fontId="7" type="noConversion"/>
  </si>
  <si>
    <t>收益还原</t>
  </si>
  <si>
    <t>住宅</t>
    <phoneticPr fontId="25" type="noConversion"/>
  </si>
  <si>
    <t>七通</t>
  </si>
  <si>
    <t>估价对象所在区域基础设施水平达到“七通”。</t>
    <phoneticPr fontId="25"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</si>
  <si>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</si>
  <si>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t>万柳书院</t>
    <phoneticPr fontId="3" type="noConversion"/>
  </si>
  <si>
    <t>海淀区万柳华府北街9号院</t>
    <phoneticPr fontId="3" type="noConversion"/>
  </si>
  <si>
    <t>万柳书院</t>
    <phoneticPr fontId="3" type="noConversion"/>
  </si>
  <si>
    <t>万城华府海园</t>
    <phoneticPr fontId="3" type="noConversion"/>
  </si>
  <si>
    <t>比较法-住宅</t>
  </si>
  <si>
    <t>1-301</t>
    <phoneticPr fontId="25" type="noConversion"/>
  </si>
  <si>
    <t>情况3</t>
  </si>
  <si>
    <t>出让金+开发费</t>
  </si>
  <si>
    <t>钢</t>
    <phoneticPr fontId="25" type="noConversion"/>
  </si>
  <si>
    <t>钢混</t>
    <phoneticPr fontId="25" type="noConversion"/>
  </si>
  <si>
    <t>混合</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</si>
  <si>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</si>
  <si>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</si>
  <si>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</si>
  <si>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</si>
  <si>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</si>
  <si>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r>
      <rPr>
        <sz val="11"/>
        <color indexed="8"/>
        <rFont val="宋体"/>
        <family val="3"/>
        <charset val="134"/>
      </rPr>
      <t>普通</t>
    </r>
    <r>
      <rPr>
        <sz val="11"/>
        <color indexed="8"/>
        <rFont val="Arial"/>
        <family val="2"/>
      </rPr>
      <t xml:space="preserve"> </t>
    </r>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</si>
  <si>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</si>
  <si>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</si>
  <si>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</si>
  <si>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</si>
  <si>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</si>
  <si>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万城华府龙园</t>
    <phoneticPr fontId="3" type="noConversion"/>
  </si>
  <si>
    <t>60-70（含）</t>
  </si>
  <si>
    <t>50-60（含）</t>
  </si>
  <si>
    <t>精装修</t>
  </si>
  <si>
    <t>专业</t>
  </si>
  <si>
    <t>总价</t>
  </si>
  <si>
    <t>自定义</t>
  </si>
  <si>
    <t>分摊土地面积</t>
  </si>
  <si>
    <t>2.估价师知悉的除抵押担保权以外的法定优先受偿款</t>
  </si>
  <si>
    <t>估价对象位于海淀区万柳地区，北距北四环西路约600米，周边路网较为密集，行车出入便捷。且项目及周边道路均设有停车场位，停车便捷。周边1公里范围内有481路、664路等公交线路，且地铁10号线巴沟站位于地块东北角，公交便捷度好。综上分析，估价对象所在区位整体交通便捷度较好。</t>
    <phoneticPr fontId="41" type="noConversion"/>
  </si>
  <si>
    <t>周边1.5公里内的公共服务配套设施较为齐备，有购物场所（北京华联万柳购物中心）、医院（北京市海淀区妇幼保健院）、银行（中国光大银行、浦发银行）、学校（北京市八一学校、万泉小学）、餐饮等公共服务配套设施。</t>
    <phoneticPr fontId="41" type="noConversion"/>
  </si>
  <si>
    <t>估价对象所在区域有2公里范围内有海淀公园、巴沟山水园等自然景观；人文环境：多家幼儿园及北京市八一中学、中国人民大学等，人文环境好；综合评价环境状况较好。</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</si>
</sst>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21" fillId="0" borderId="13" xfId="0" applyFont="1" applyBorder="1" applyAlignment="1">
      <alignment horizontal="center" vertical="center"/>
    </xf>
    <xf numFmtId="179" fontId="21" fillId="0" borderId="13" xfId="0" applyNumberFormat="1" applyFont="1" applyBorder="1" applyAlignment="1">
      <alignment horizontal="center" vertical="center" wrapText="1"/>
    </xf>
    <xf numFmtId="0" fontId="21" fillId="0" borderId="13" xfId="0" applyFont="1" applyFill="1" applyBorder="1" applyAlignment="1">
      <alignment horizontal="center" vertical="center"/>
    </xf>
    <xf numFmtId="0" fontId="254" fillId="0" borderId="1" xfId="0" applyFont="1" applyBorder="1" applyAlignment="1">
      <alignment horizontal="center" vertical="center"/>
    </xf>
    <xf numFmtId="179" fontId="254" fillId="0" borderId="1" xfId="0" applyNumberFormat="1" applyFont="1" applyBorder="1" applyAlignment="1">
      <alignment horizontal="center" vertical="center"/>
    </xf>
    <xf numFmtId="0" fontId="254" fillId="0" borderId="1" xfId="0" applyFont="1" applyFill="1" applyBorder="1" applyAlignment="1">
      <alignment horizontal="center" vertical="center"/>
    </xf>
    <xf numFmtId="0" fontId="254" fillId="7" borderId="1" xfId="0" applyFont="1" applyFill="1" applyBorder="1" applyAlignment="1">
      <alignment horizontal="center" vertical="center"/>
    </xf>
    <xf numFmtId="179" fontId="254" fillId="7" borderId="1" xfId="0" applyNumberFormat="1" applyFont="1" applyFill="1" applyBorder="1" applyAlignment="1">
      <alignment horizontal="center" vertical="center"/>
    </xf>
    <xf numFmtId="179" fontId="0" fillId="0" borderId="0" xfId="0" applyNumberFormat="1">
      <alignment vertical="center"/>
    </xf>
    <xf numFmtId="0" fontId="254" fillId="0" borderId="2" xfId="0" applyFont="1" applyBorder="1" applyAlignment="1">
      <alignment horizontal="center" vertical="center"/>
    </xf>
    <xf numFmtId="0" fontId="254" fillId="0" borderId="3" xfId="0" applyFont="1" applyFill="1" applyBorder="1" applyAlignment="1">
      <alignment horizontal="center" vertical="center"/>
    </xf>
    <xf numFmtId="0" fontId="254" fillId="0" borderId="13" xfId="0" applyFont="1" applyBorder="1" applyAlignment="1">
      <alignment horizontal="center" vertical="center"/>
    </xf>
    <xf numFmtId="179" fontId="254" fillId="0" borderId="13" xfId="0" applyNumberFormat="1" applyFont="1" applyBorder="1" applyAlignment="1">
      <alignment horizontal="center" vertical="center"/>
    </xf>
    <xf numFmtId="0" fontId="254" fillId="7" borderId="13" xfId="0" applyFont="1" applyFill="1" applyBorder="1" applyAlignment="1">
      <alignment horizontal="center" vertical="center"/>
    </xf>
    <xf numFmtId="179" fontId="254" fillId="7" borderId="13" xfId="0" applyNumberFormat="1" applyFont="1" applyFill="1" applyBorder="1" applyAlignment="1">
      <alignment horizontal="center" vertical="center"/>
    </xf>
    <xf numFmtId="0" fontId="254" fillId="0" borderId="13" xfId="0" applyFont="1" applyFill="1" applyBorder="1" applyAlignment="1">
      <alignment horizontal="center" vertical="center"/>
    </xf>
    <xf numFmtId="0" fontId="254" fillId="0" borderId="0" xfId="0" applyFont="1" applyBorder="1" applyAlignment="1">
      <alignment horizontal="center" vertical="center"/>
    </xf>
    <xf numFmtId="179" fontId="254" fillId="0" borderId="0" xfId="0" applyNumberFormat="1" applyFont="1" applyBorder="1" applyAlignment="1">
      <alignment horizontal="center" vertical="center"/>
    </xf>
    <xf numFmtId="0" fontId="254" fillId="0" borderId="0" xfId="0" applyFont="1" applyFill="1" applyBorder="1" applyAlignment="1">
      <alignment horizontal="center" vertical="center"/>
    </xf>
    <xf numFmtId="0" fontId="0" fillId="0" borderId="0" xfId="0" applyAlignment="1">
      <alignment horizontal="center" vertical="center"/>
    </xf>
    <xf numFmtId="179" fontId="0" fillId="0" borderId="0" xfId="0" applyNumberFormat="1" applyAlignment="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0" fillId="0" borderId="1" xfId="0" applyBorder="1">
      <alignment vertical="center"/>
    </xf>
    <xf numFmtId="0" fontId="58" fillId="0" borderId="1" xfId="0" applyFont="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184537</xdr:colOff>
      <xdr:row>25</xdr:row>
      <xdr:rowOff>38101</xdr:rowOff>
    </xdr:to>
    <xdr:pic>
      <xdr:nvPicPr>
        <xdr:cNvPr id="4" name="图片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9099937"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24</xdr:row>
      <xdr:rowOff>95251</xdr:rowOff>
    </xdr:from>
    <xdr:to>
      <xdr:col>13</xdr:col>
      <xdr:colOff>28576</xdr:colOff>
      <xdr:row>49</xdr:row>
      <xdr:rowOff>91717</xdr:rowOff>
    </xdr:to>
    <xdr:pic>
      <xdr:nvPicPr>
        <xdr:cNvPr id="5" name="图片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 y="4210051"/>
          <a:ext cx="8943974" cy="4282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0</xdr:row>
      <xdr:rowOff>0</xdr:rowOff>
    </xdr:from>
    <xdr:to>
      <xdr:col>26</xdr:col>
      <xdr:colOff>676275</xdr:colOff>
      <xdr:row>35</xdr:row>
      <xdr:rowOff>19050</xdr:rowOff>
    </xdr:to>
    <xdr:pic>
      <xdr:nvPicPr>
        <xdr:cNvPr id="6" name="图片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01200" y="0"/>
          <a:ext cx="8905875" cy="601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北京市海淀区万柳华府北街9号院房地产抵押价值预评估</v>
      </c>
    </row>
    <row r="3" spans="1:2" s="1596" customFormat="1">
      <c r="A3" s="1594" t="s">
        <v>1221</v>
      </c>
      <c r="B3" s="1595" t="str">
        <f>'预评函-封皮'!B40</f>
        <v>北京赫华恒瑞房地产开发有限公司</v>
      </c>
    </row>
    <row r="4" spans="1:2" s="1596" customFormat="1">
      <c r="A4" s="1594" t="s">
        <v>1222</v>
      </c>
      <c r="B4" s="1595" t="str">
        <f ca="1">'预评函-封皮'!B46</f>
        <v>吴薇（注册号：1419970001)、郑燚（注册号：1120070131)</v>
      </c>
    </row>
    <row r="5" spans="1:2" s="1590" customFormat="1" ht="15" thickBot="1">
      <c r="A5" s="1597" t="s">
        <v>1223</v>
      </c>
      <c r="B5" s="1598" t="str">
        <f>'预评函-封皮'!B49</f>
        <v>康正预评字2018-1-0626号</v>
      </c>
    </row>
    <row r="6" spans="1:2" s="1593" customFormat="1" ht="15" thickTop="1">
      <c r="A6" s="1591" t="s">
        <v>1224</v>
      </c>
      <c r="B6" s="1592" t="str">
        <f>'预评函-1'!A4</f>
        <v>受贵公司委托，我公司对北京市海淀区万柳华府北街9号院房地产抵押价值进行了预评估。</v>
      </c>
    </row>
    <row r="7" spans="1:2" s="1596" customFormat="1">
      <c r="A7" s="1594" t="s">
        <v>1264</v>
      </c>
      <c r="B7" s="1595" t="str">
        <f>'预评函-1'!A7</f>
        <v>估价对象为北京市海淀区万柳华府北街9号院房地产，为北京赫华恒瑞房地产开发有限公司所有。根据《国有土地使用证》[京海国用（2012出）第00175号]，估价对象（分摊）出让国有建设用地使用权面积为12068.97平方米，建筑面积为44831.79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海淀区万柳华府北街9号院房地产,属北京赫华恒瑞房地产开发有限公司开发建设的居住项目，该项目尚在开发建设中。根据《国有土地使用证》[京海国用（2012出）第00175号]，估价对象（分摊）出让国有建设用地使用权面积为12068.97平方米，规划建筑面积为44831.79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为估价委托人在向中信银行办理贷款手续过程中，确定房地产抵押贷款额度提供参考依据而评估房地产抵押价值。</v>
      </c>
    </row>
    <row r="12" spans="1:2" s="1596" customFormat="1">
      <c r="A12" s="1594" t="s">
        <v>1226</v>
      </c>
      <c r="B12" s="1595" t="str">
        <f>'预评函-1'!A15</f>
        <v>2018年11月26日</v>
      </c>
    </row>
    <row r="13" spans="1:2" s="1596" customFormat="1">
      <c r="A13" s="1594" t="s">
        <v>1227</v>
      </c>
      <c r="B13" s="1595" t="str">
        <f>'预评函-1'!A18</f>
        <v>本次估价的“房地产价值”是指在正常市场情况下，在价值时点2018年11月26日，估价对象规划用途为住宅、地下车库，土地取得方式为出让，出让国有建设用地使用权剩余土地使用年限为住宅63.7年、地下车库43.7年，假定未设立法定优先受偿款下的房地产市场价值。</v>
      </c>
    </row>
    <row r="14" spans="1:2" s="1596" customFormat="1">
      <c r="A14" s="1594" t="s">
        <v>1228</v>
      </c>
      <c r="B14" s="1595" t="str">
        <f>'预评函-1'!A19</f>
        <v>其中，“出让国有建设用地使用权价值”是指估价对象用途为住宅、地下车库，实际开发程度为宗地红线外“七通”（即通路、通电、通讯、通上水、通下水、通热、燃气）、红线内场地平整条件下，剩余土地使用年限为住宅63.7年、地下车库43.7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808909</v>
      </c>
    </row>
    <row r="21" spans="1:2" s="1596" customFormat="1">
      <c r="A21" s="1594" t="s">
        <v>1235</v>
      </c>
      <c r="B21" s="1595">
        <f ca="1">'预评函-2'!D7</f>
        <v>180432</v>
      </c>
    </row>
    <row r="22" spans="1:2" s="1596" customFormat="1">
      <c r="A22" s="1594" t="s">
        <v>1236</v>
      </c>
      <c r="B22" s="1595" t="str">
        <f ca="1">'预评函-2'!D6</f>
        <v>捌拾亿捌仟玖佰零玖万元整</v>
      </c>
    </row>
    <row r="23" spans="1:2" s="1596" customFormat="1">
      <c r="A23" s="1594" t="s">
        <v>1287</v>
      </c>
      <c r="B23" s="1595" t="str">
        <f>'预评函-2'!B8</f>
        <v>2.估价师知悉的除抵押担保权以外的法定优先受偿款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808909</v>
      </c>
    </row>
    <row r="31" spans="1:2" s="1596" customFormat="1">
      <c r="A31" s="1594" t="s">
        <v>1274</v>
      </c>
      <c r="B31" s="1595">
        <f ca="1">'预评函-2'!D15</f>
        <v>180432</v>
      </c>
    </row>
    <row r="32" spans="1:2" s="1596" customFormat="1">
      <c r="A32" s="1594" t="s">
        <v>1241</v>
      </c>
      <c r="B32" s="1595" t="str">
        <f ca="1">'预评函-2'!D14</f>
        <v>捌拾亿捌仟玖佰零玖万元整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4.抵押净值</v>
      </c>
    </row>
    <row r="38" spans="1:2" s="1596" customFormat="1">
      <c r="A38" s="1594" t="s">
        <v>1295</v>
      </c>
      <c r="B38" s="1595">
        <f ca="1">'预评函-2'!D19</f>
        <v>771142</v>
      </c>
    </row>
    <row r="39" spans="1:2" s="1596" customFormat="1">
      <c r="A39" s="1594" t="s">
        <v>1243</v>
      </c>
      <c r="B39" s="1595">
        <f ca="1">'预评函-2'!D21</f>
        <v>172008</v>
      </c>
    </row>
    <row r="40" spans="1:2" s="1596" customFormat="1">
      <c r="A40" s="1594" t="s">
        <v>1244</v>
      </c>
      <c r="B40" s="1595" t="str">
        <f ca="1">'预评函-2'!D20</f>
        <v>柒拾柒亿壹仟壹佰肆拾贰万元整</v>
      </c>
    </row>
    <row r="41" spans="1:2" s="1596" customFormat="1">
      <c r="A41" s="1594" t="s">
        <v>1290</v>
      </c>
      <c r="B41" s="1595" t="str">
        <f>'预评函-3'!A4</f>
        <v>北京市海淀区万柳华府北街9号院房地产</v>
      </c>
    </row>
    <row r="42" spans="1:2" s="1596" customFormat="1">
      <c r="A42" s="1594" t="s">
        <v>1288</v>
      </c>
      <c r="B42" s="1595" t="str">
        <f>'预评函-3'!B2</f>
        <v>建筑面积</v>
      </c>
    </row>
    <row r="43" spans="1:2" s="1596" customFormat="1">
      <c r="A43" s="1594" t="s">
        <v>1289</v>
      </c>
      <c r="B43" s="1595">
        <f>'预评函-3'!B4</f>
        <v>44831.789999999994</v>
      </c>
    </row>
    <row r="44" spans="1:2" s="1596" customFormat="1">
      <c r="A44" s="1594" t="s">
        <v>1273</v>
      </c>
      <c r="B44" s="1595" t="str">
        <f>'预评函-3'!C2</f>
        <v>(分摊)土地面积</v>
      </c>
    </row>
    <row r="45" spans="1:2" s="1596" customFormat="1">
      <c r="A45" s="1594" t="s">
        <v>1245</v>
      </c>
      <c r="B45" s="1595">
        <f>'预评函-3'!C4</f>
        <v>12068.97</v>
      </c>
    </row>
    <row r="46" spans="1:2" s="1596" customFormat="1">
      <c r="A46" s="1594" t="s">
        <v>1271</v>
      </c>
      <c r="B46" s="1595" t="str">
        <f>'预评函-3'!D2</f>
        <v>出让国有建设用地使用权价值</v>
      </c>
    </row>
    <row r="47" spans="1:2" s="1596" customFormat="1">
      <c r="A47" s="1594" t="s">
        <v>1246</v>
      </c>
      <c r="B47" s="1595">
        <f ca="1">'预评函-3'!D4</f>
        <v>711709</v>
      </c>
    </row>
    <row r="48" spans="1:2" s="1596" customFormat="1">
      <c r="A48" s="1594" t="s">
        <v>1247</v>
      </c>
      <c r="B48" s="1595">
        <f ca="1">'预评函-3'!E4</f>
        <v>158751</v>
      </c>
    </row>
    <row r="49" spans="1:2" s="1596" customFormat="1">
      <c r="A49" s="1594" t="s">
        <v>1248</v>
      </c>
      <c r="B49" s="1595" t="str">
        <f ca="1">'预评函-3'!D5</f>
        <v>柒拾壹亿壹仟柒佰零玖万元整</v>
      </c>
    </row>
    <row r="50" spans="1:2" s="1596" customFormat="1">
      <c r="A50" s="1594" t="s">
        <v>1272</v>
      </c>
      <c r="B50" s="1595" t="str">
        <f>'预评函-3'!F2</f>
        <v>在建建筑物价值</v>
      </c>
    </row>
    <row r="51" spans="1:2" s="1596" customFormat="1">
      <c r="A51" s="1594" t="s">
        <v>1249</v>
      </c>
      <c r="B51" s="1595">
        <f ca="1">'预评函-3'!F4</f>
        <v>97200</v>
      </c>
    </row>
    <row r="52" spans="1:2" s="1596" customFormat="1">
      <c r="A52" s="1594" t="s">
        <v>1250</v>
      </c>
      <c r="B52" s="1595">
        <f ca="1">'预评函-3'!G4</f>
        <v>21681</v>
      </c>
    </row>
    <row r="53" spans="1:2" s="1596" customFormat="1">
      <c r="A53" s="1594" t="s">
        <v>1278</v>
      </c>
      <c r="B53" s="1595" t="str">
        <f ca="1">'预评函-3'!F5</f>
        <v>玖亿柒仟贰佰万元整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抵押净值</v>
      </c>
    </row>
    <row r="57" spans="1:2" s="1590" customFormat="1" ht="15" thickBot="1">
      <c r="A57" s="1597" t="s">
        <v>1297</v>
      </c>
      <c r="B57" s="1598" t="str">
        <f>'预评函-3'!A6</f>
        <v>估价师知悉的除抵押担保权以外的法定优先受偿款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故，本次评估不存在估价师知悉的除抵押担保权以外的法定优先受偿款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为估价委托人在向中信银行办理贷款手续过程中，确定房地产抵押贷款额度提供参考依据而评估房地产抵押价值。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赫华恒瑞房地产开发有限公司拟使用北京市海淀区万柳华府北街9号院房地产作为抵押担保物，向中信银行办理贷款手续。中信银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26日，估价对象规划用途为住宅、地下车库土地取得方式为出让，出让国有建设用地使用权剩余土地使用年限为XX年(多用途剩余年限尾数不同时，可只体现小数点后一位)，假定未设立法定优先受偿款下的房地产市场价值。</v>
      </c>
    </row>
    <row r="54" spans="1:4">
      <c r="A54" s="3021"/>
      <c r="B54" s="2025" t="s">
        <v>864</v>
      </c>
      <c r="C54" s="2022" t="s">
        <v>1281</v>
      </c>
    </row>
    <row r="55" spans="1:4">
      <c r="A55" s="3021"/>
      <c r="B55" s="2025" t="s">
        <v>865</v>
      </c>
      <c r="C55" s="2022" t="s">
        <v>1282</v>
      </c>
    </row>
    <row r="56" spans="1:4">
      <c r="A56" s="3021"/>
      <c r="B56" s="2025" t="s">
        <v>866</v>
      </c>
      <c r="C56" s="2022" t="s">
        <v>1286</v>
      </c>
    </row>
    <row r="57" spans="1:4">
      <c r="A57" s="302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8" sqref="B38"/>
    </sheetView>
  </sheetViews>
  <sheetFormatPr defaultColWidth="10" defaultRowHeight="18" customHeight="1"/>
  <cols>
    <col min="1" max="1" width="14.875" style="2035" customWidth="1"/>
    <col min="2" max="2" width="10" style="2035" customWidth="1"/>
    <col min="3" max="3" width="11.5" style="2035" customWidth="1"/>
    <col min="4" max="4" width="11.375" style="2035" customWidth="1"/>
    <col min="5"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1775</v>
      </c>
      <c r="B1" s="3022" t="str">
        <f>IF(B10="北京市","北京市",C10)&amp;F10&amp;IF(结果表!G1="在建","出让国有建设用地使用权及在建建筑物",IF(结果表!G1="土地","出让国有建设用地使用权",))&amp;B9&amp;"预评估"</f>
        <v>北京市海淀区万柳华府北街9号院房地产抵押价值预评估</v>
      </c>
      <c r="C1" s="3023"/>
      <c r="D1" s="3023"/>
      <c r="E1" s="3023"/>
      <c r="F1" s="3023"/>
      <c r="G1" s="3023"/>
      <c r="H1" s="3023"/>
      <c r="I1" s="302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北京市海淀区万柳华府北街9号院房地产抵押价值</v>
      </c>
    </row>
    <row r="2" spans="1:19" ht="18" customHeight="1">
      <c r="A2" s="2029" t="s">
        <v>1776</v>
      </c>
      <c r="B2" s="1042" t="s">
        <v>3744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北京市海淀区万柳华府北街9号院房地产</v>
      </c>
    </row>
    <row r="3" spans="1:19" ht="18" customHeight="1">
      <c r="A3" s="2038" t="s">
        <v>1777</v>
      </c>
      <c r="B3" s="2039"/>
      <c r="C3" s="2040" t="s">
        <v>1778</v>
      </c>
      <c r="D3" s="2039">
        <v>43430</v>
      </c>
      <c r="E3" s="2029"/>
      <c r="F3" s="2029"/>
      <c r="G3" s="2029"/>
      <c r="H3" s="2029"/>
      <c r="I3" s="2029"/>
      <c r="J3" s="2029"/>
      <c r="K3" s="2030"/>
      <c r="L3" s="2031"/>
      <c r="M3" s="2031"/>
      <c r="N3" s="2032"/>
      <c r="O3" s="2033"/>
      <c r="P3" s="2032"/>
      <c r="Q3" s="2032"/>
      <c r="R3" s="2032"/>
      <c r="S3" s="2034"/>
    </row>
    <row r="4" spans="1:19" ht="18" customHeight="1" thickBot="1">
      <c r="A4" s="2041" t="s">
        <v>1779</v>
      </c>
      <c r="B4" s="2042" t="s">
        <v>3745</v>
      </c>
      <c r="C4" s="1040">
        <f ca="1">SUMIF(注册房地产估价师,B4,估价师及机构信息!B3:B24)</f>
        <v>1419970001</v>
      </c>
      <c r="D4" s="2042" t="s">
        <v>3746</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吴薇（注册号：1419970001)、郑燚（注册号：1120070131)</v>
      </c>
      <c r="L4" s="2031"/>
      <c r="M4" s="2031"/>
      <c r="N4" s="2032"/>
      <c r="O4" s="2033"/>
      <c r="P4" s="2032"/>
      <c r="Q4" s="2032"/>
      <c r="R4" s="2032"/>
      <c r="S4" s="2034"/>
    </row>
    <row r="5" spans="1:19" ht="18" customHeight="1" thickTop="1">
      <c r="A5" s="2047" t="s">
        <v>1780</v>
      </c>
      <c r="B5" s="2963" t="s">
        <v>3747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1781</v>
      </c>
      <c r="B6" s="2964" t="s">
        <v>3748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1782</v>
      </c>
      <c r="B7" s="2963" t="s">
        <v>3747</v>
      </c>
      <c r="C7" s="2051"/>
      <c r="D7" s="2052"/>
      <c r="E7" s="2037"/>
      <c r="F7" s="2045"/>
      <c r="G7" s="2045"/>
      <c r="H7" s="2045"/>
      <c r="I7" s="2045"/>
      <c r="J7" s="2045"/>
      <c r="K7" s="2054"/>
      <c r="L7" s="2031"/>
      <c r="M7" s="2031"/>
      <c r="N7" s="2032"/>
      <c r="O7" s="2033"/>
      <c r="P7" s="2032"/>
      <c r="Q7" s="2032"/>
      <c r="R7" s="2032"/>
    </row>
    <row r="8" spans="1:19" ht="18" customHeight="1">
      <c r="A8" s="2050" t="s">
        <v>1783</v>
      </c>
      <c r="B8" s="2055" t="s">
        <v>3749</v>
      </c>
      <c r="C8" s="2056"/>
      <c r="D8" s="3025" t="s">
        <v>1784</v>
      </c>
      <c r="E8" s="2057" t="s">
        <v>3750</v>
      </c>
      <c r="F8" s="2058"/>
      <c r="G8" s="2029"/>
      <c r="H8" s="2029"/>
      <c r="I8" s="2029"/>
      <c r="J8" s="2045"/>
      <c r="K8" s="2046"/>
      <c r="L8" s="2031"/>
      <c r="M8" s="2031"/>
      <c r="N8" s="2032"/>
      <c r="O8" s="2033"/>
      <c r="P8" s="2032"/>
      <c r="Q8" s="2032"/>
      <c r="R8" s="2032"/>
    </row>
    <row r="9" spans="1:19" ht="18" customHeight="1" thickBot="1">
      <c r="A9" s="2043" t="s">
        <v>1785</v>
      </c>
      <c r="B9" s="2059" t="s">
        <v>3750</v>
      </c>
      <c r="C9" s="2060"/>
      <c r="D9" s="3026"/>
      <c r="E9" s="2059" t="s">
        <v>1285</v>
      </c>
      <c r="F9" s="2061"/>
      <c r="G9" s="2062"/>
      <c r="H9" s="2062"/>
      <c r="I9" s="2062"/>
      <c r="J9" s="2045"/>
      <c r="K9" s="2054"/>
      <c r="L9" s="2031"/>
      <c r="M9" s="2031"/>
      <c r="N9" s="2032"/>
      <c r="O9" s="2033"/>
      <c r="P9" s="2032"/>
      <c r="Q9" s="2032"/>
      <c r="R9" s="2032"/>
    </row>
    <row r="10" spans="1:19" ht="18" customHeight="1" thickTop="1" thickBot="1">
      <c r="A10" s="2063" t="s">
        <v>1786</v>
      </c>
      <c r="B10" s="2064" t="s">
        <v>3751</v>
      </c>
      <c r="C10" s="2065"/>
      <c r="D10" s="2049"/>
      <c r="E10" s="2066" t="s">
        <v>1787</v>
      </c>
      <c r="F10" s="2067" t="s">
        <v>3753</v>
      </c>
      <c r="G10" s="2068"/>
      <c r="H10" s="2069"/>
      <c r="I10" s="2049"/>
      <c r="J10" s="2045"/>
      <c r="K10" s="2054"/>
      <c r="L10" s="2031"/>
      <c r="M10" s="2031"/>
      <c r="N10" s="2032"/>
      <c r="O10" s="2033"/>
      <c r="P10" s="2032"/>
      <c r="Q10" s="2032"/>
      <c r="R10" s="2032"/>
    </row>
    <row r="11" spans="1:19" ht="18" customHeight="1" thickTop="1">
      <c r="A11" s="2070" t="s">
        <v>1788</v>
      </c>
      <c r="B11" s="2071" t="s">
        <v>3752</v>
      </c>
      <c r="C11" s="2963" t="s">
        <v>3747</v>
      </c>
      <c r="D11" s="2072"/>
      <c r="E11" s="2045"/>
      <c r="F11" s="2045"/>
      <c r="G11" s="2045"/>
      <c r="H11" s="2045"/>
      <c r="I11" s="2045"/>
      <c r="J11" s="2045"/>
      <c r="K11" s="2054"/>
      <c r="L11" s="2031"/>
      <c r="M11" s="2031"/>
      <c r="N11" s="2032"/>
      <c r="O11" s="2033"/>
      <c r="P11" s="2032"/>
      <c r="Q11" s="2032"/>
      <c r="R11" s="2032"/>
    </row>
    <row r="12" spans="1:19" ht="18" customHeight="1">
      <c r="A12" s="2073" t="s">
        <v>1789</v>
      </c>
      <c r="B12" s="2071" t="s">
        <v>3754</v>
      </c>
      <c r="C12" s="2074" t="s">
        <v>1790</v>
      </c>
      <c r="D12" s="2075" t="s">
        <v>1791</v>
      </c>
      <c r="E12" s="2075" t="s">
        <v>1792</v>
      </c>
      <c r="F12" s="2075" t="s">
        <v>1793</v>
      </c>
      <c r="G12" s="2075" t="s">
        <v>1794</v>
      </c>
      <c r="H12" s="2075" t="s">
        <v>1795</v>
      </c>
      <c r="I12" s="2075" t="s">
        <v>1796</v>
      </c>
      <c r="J12" s="2045"/>
      <c r="K12" s="2054"/>
      <c r="L12" s="2031"/>
      <c r="M12" s="2031"/>
      <c r="N12" s="2032"/>
      <c r="O12" s="2033"/>
      <c r="P12" s="2032"/>
      <c r="Q12" s="2032"/>
      <c r="R12" s="2032"/>
    </row>
    <row r="13" spans="1:19" ht="18" customHeight="1">
      <c r="A13" s="2076"/>
      <c r="B13" s="2077"/>
      <c r="C13" s="2078" t="s">
        <v>1797</v>
      </c>
      <c r="D13" s="2079">
        <v>66689</v>
      </c>
      <c r="E13" s="2079"/>
      <c r="F13" s="2079"/>
      <c r="G13" s="2079">
        <v>59384</v>
      </c>
      <c r="H13" s="2079"/>
      <c r="I13" s="1050"/>
      <c r="J13" s="2045"/>
      <c r="K13" s="2054"/>
      <c r="L13" s="2031"/>
      <c r="M13" s="2031"/>
      <c r="N13" s="2032"/>
      <c r="O13" s="2033"/>
      <c r="P13" s="2032"/>
      <c r="Q13" s="2032"/>
      <c r="R13" s="2032"/>
    </row>
    <row r="14" spans="1:19" ht="18" customHeight="1">
      <c r="A14" s="2076"/>
      <c r="B14" s="2077"/>
      <c r="C14" s="2078" t="s">
        <v>1798</v>
      </c>
      <c r="D14" s="1053">
        <v>70</v>
      </c>
      <c r="E14" s="1053"/>
      <c r="F14" s="1053"/>
      <c r="G14" s="1053">
        <v>50</v>
      </c>
      <c r="H14" s="1053"/>
      <c r="I14" s="1053"/>
      <c r="J14" s="2045"/>
      <c r="K14" s="2080"/>
      <c r="L14" s="2031"/>
      <c r="M14" s="2031"/>
      <c r="N14" s="2032"/>
      <c r="O14" s="2033"/>
      <c r="P14" s="2032"/>
      <c r="Q14" s="2032"/>
      <c r="R14" s="2032"/>
    </row>
    <row r="15" spans="1:19" ht="18" customHeight="1">
      <c r="A15" s="2063"/>
      <c r="B15" s="2081"/>
      <c r="C15" s="2078" t="s">
        <v>1799</v>
      </c>
      <c r="D15" s="1052">
        <f>IF(B12="出让",IF(D13="","",ROUNDDOWN(MIN((D13-$D$3)/365,D14),2)),D14)</f>
        <v>63.72</v>
      </c>
      <c r="E15" s="1052" t="str">
        <f>IF(B12="出让",IF(E13="","",ROUNDDOWN(MIN((E13-$D$3)/365,E14),2)),E14)</f>
        <v/>
      </c>
      <c r="F15" s="1052" t="str">
        <f>IF(B12="出让",IF(F13="","",ROUNDDOWN(MIN((F13-$D$3)/365,F14),2)),F14)</f>
        <v/>
      </c>
      <c r="G15" s="1052">
        <f>IF(B12="出让",IF(G13="","",ROUNDDOWN(MIN((G13-$D$3)/365,G14),2)),G14)</f>
        <v>43.7</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1800</v>
      </c>
      <c r="B16" s="3032" t="s">
        <v>3755</v>
      </c>
      <c r="C16" s="3033"/>
      <c r="D16" s="3034"/>
      <c r="E16" s="2085" t="s">
        <v>1801</v>
      </c>
      <c r="F16" s="3035" t="s">
        <v>3756</v>
      </c>
      <c r="G16" s="3036"/>
      <c r="H16" s="3036"/>
      <c r="I16" s="3037"/>
      <c r="J16" s="2032"/>
      <c r="K16" s="2082"/>
      <c r="L16" s="2083"/>
      <c r="M16" s="2083"/>
      <c r="N16" s="2084"/>
      <c r="O16" s="2083"/>
      <c r="P16" s="2084"/>
      <c r="Q16" s="2032"/>
      <c r="R16" s="2032"/>
    </row>
    <row r="17" spans="1:22" ht="18" customHeight="1">
      <c r="A17" s="2086" t="s">
        <v>1802</v>
      </c>
      <c r="B17" s="2038" t="s">
        <v>1803</v>
      </c>
      <c r="C17" s="1057">
        <f>'数据-汇总表'!E3</f>
        <v>44831.789999999994</v>
      </c>
      <c r="D17" s="2087" t="s">
        <v>1804</v>
      </c>
      <c r="E17" s="3038" t="s">
        <v>3758</v>
      </c>
      <c r="F17" s="3039"/>
      <c r="G17" s="3039"/>
      <c r="H17" s="3039"/>
      <c r="I17" s="3040"/>
      <c r="J17" s="2032"/>
      <c r="K17" s="2088"/>
      <c r="L17" s="2083"/>
      <c r="M17" s="2083"/>
      <c r="N17" s="2084"/>
      <c r="O17" s="2083"/>
      <c r="P17" s="2084"/>
      <c r="Q17" s="2032"/>
      <c r="R17" s="2032"/>
      <c r="S17" s="2032"/>
      <c r="T17" s="2032"/>
      <c r="U17" s="2032"/>
      <c r="V17" s="2032"/>
    </row>
    <row r="18" spans="1:22" ht="36" customHeight="1" thickBot="1">
      <c r="A18" s="2089" t="s">
        <v>1805</v>
      </c>
      <c r="B18" s="2041" t="s">
        <v>1806</v>
      </c>
      <c r="C18" s="1447">
        <f>'数据-汇总表'!D3</f>
        <v>12068.97</v>
      </c>
      <c r="D18" s="2090" t="s">
        <v>1804</v>
      </c>
      <c r="E18" s="3041" t="s">
        <v>3757</v>
      </c>
      <c r="F18" s="3042"/>
      <c r="G18" s="3042"/>
      <c r="H18" s="3042"/>
      <c r="I18" s="3043"/>
      <c r="J18" s="2032"/>
      <c r="K18" s="2088"/>
      <c r="L18" s="2083"/>
      <c r="M18" s="2083"/>
      <c r="N18" s="2084"/>
      <c r="O18" s="2083"/>
      <c r="P18" s="2084"/>
      <c r="Q18" s="2032"/>
      <c r="R18" s="2032"/>
      <c r="S18" s="2032"/>
      <c r="T18" s="2032"/>
      <c r="U18" s="2032"/>
      <c r="V18" s="2032"/>
    </row>
    <row r="19" spans="1:22" ht="37.5" customHeight="1" thickTop="1" thickBot="1">
      <c r="A19" s="373" t="s">
        <v>1807</v>
      </c>
      <c r="B19" s="352" t="s">
        <v>1808</v>
      </c>
      <c r="C19" s="2091"/>
      <c r="D19" s="2092" t="s">
        <v>1809</v>
      </c>
      <c r="E19" s="2093"/>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1810</v>
      </c>
      <c r="B20" s="3028" t="s">
        <v>1811</v>
      </c>
      <c r="C20" s="3029"/>
      <c r="D20" s="3030" t="s">
        <v>1812</v>
      </c>
      <c r="E20" s="3031"/>
      <c r="F20" s="2097" t="s">
        <v>1813</v>
      </c>
      <c r="G20" s="2045"/>
      <c r="H20" s="2045"/>
      <c r="I20" s="2045"/>
      <c r="J20" s="2045"/>
      <c r="K20" s="3027" t="s">
        <v>1814</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1815</v>
      </c>
      <c r="C21" s="2099" t="s">
        <v>1816</v>
      </c>
      <c r="D21" s="2100" t="s">
        <v>1817</v>
      </c>
      <c r="E21" s="2101" t="s">
        <v>1816</v>
      </c>
      <c r="F21" s="2102"/>
      <c r="G21" s="2045"/>
      <c r="H21" s="2045"/>
      <c r="I21" s="2045"/>
      <c r="J21" s="2045"/>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1818</v>
      </c>
      <c r="C22" s="2099" t="s">
        <v>1819</v>
      </c>
      <c r="D22" s="2029"/>
      <c r="E22" s="2029"/>
      <c r="F22" s="2104"/>
      <c r="G22" s="2045"/>
      <c r="H22" s="2045"/>
      <c r="I22" s="2045"/>
      <c r="J22" s="2045"/>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1820</v>
      </c>
      <c r="B23" s="183" t="s">
        <v>1821</v>
      </c>
      <c r="C23" s="2106"/>
      <c r="D23" s="2107" t="s">
        <v>1821</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1822</v>
      </c>
      <c r="C24" s="2111"/>
      <c r="D24" s="2105" t="s">
        <v>1822</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1823</v>
      </c>
      <c r="C25" s="2111"/>
      <c r="D25" s="2105" t="s">
        <v>1823</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1824</v>
      </c>
      <c r="C26" s="2115"/>
      <c r="D26" s="2116" t="s">
        <v>1825</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45" t="s">
        <v>1826</v>
      </c>
      <c r="B27" s="2063" t="s">
        <v>1827</v>
      </c>
      <c r="C27" s="2119" t="s">
        <v>3759</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45"/>
      <c r="B28" s="2038" t="s">
        <v>1828</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45"/>
      <c r="B29" s="2038" t="s">
        <v>1829</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46"/>
      <c r="B30" s="2038" t="s">
        <v>1830</v>
      </c>
      <c r="C30" s="3047"/>
      <c r="D30" s="3048"/>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49" t="s">
        <v>1831</v>
      </c>
      <c r="B31" s="2126" t="s">
        <v>3760</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50"/>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50"/>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1832</v>
      </c>
      <c r="B34" s="2133" t="s">
        <v>3761</v>
      </c>
      <c r="C34" s="2133" t="s">
        <v>3762</v>
      </c>
      <c r="D34" s="2133" t="s">
        <v>3763</v>
      </c>
      <c r="E34" s="2133" t="s">
        <v>3764</v>
      </c>
      <c r="F34" s="2133" t="s">
        <v>3765</v>
      </c>
      <c r="G34" s="2133" t="s">
        <v>3767</v>
      </c>
      <c r="H34" s="2133" t="s">
        <v>3766</v>
      </c>
      <c r="I34" s="2045"/>
      <c r="J34" s="2045"/>
      <c r="K34" s="1798">
        <f>COUNTIF(B34:H34,"——")</f>
        <v>0</v>
      </c>
      <c r="L34" s="2074" t="s">
        <v>1833</v>
      </c>
      <c r="M34" s="2074" t="s">
        <v>1834</v>
      </c>
      <c r="N34" s="2074" t="s">
        <v>1835</v>
      </c>
      <c r="O34" s="2074" t="s">
        <v>1836</v>
      </c>
      <c r="P34" s="2074" t="s">
        <v>1837</v>
      </c>
      <c r="Q34" s="2074" t="s">
        <v>1838</v>
      </c>
      <c r="R34" s="2074" t="s">
        <v>1839</v>
      </c>
      <c r="S34" s="3044" t="s">
        <v>1840</v>
      </c>
      <c r="T34" s="2134" t="str">
        <f>NUMBERSTRING(7-K34,1)&amp;"通"</f>
        <v>七通</v>
      </c>
      <c r="U34" s="2032"/>
      <c r="V34" s="2032"/>
    </row>
    <row r="35" spans="1:22" ht="18" customHeight="1">
      <c r="A35" s="2135"/>
      <c r="B35" s="3051" t="s">
        <v>1841</v>
      </c>
      <c r="C35" s="3051"/>
      <c r="D35" s="3051"/>
      <c r="E35" s="3051"/>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4"/>
      <c r="T35" s="48" t="str">
        <f>IF(T34="一通",L35,IF(T34="二通",M35,IF(T34="三通",N35,IF(T34="四通",O35,IF(T34="五通",P35,IF(T34="六通",Q35,R35))))))</f>
        <v>通路、通电、通讯、通上水、通下水、通热、燃气</v>
      </c>
      <c r="U35" s="2032"/>
      <c r="V35" s="2032"/>
    </row>
    <row r="36" spans="1:22" ht="18" customHeight="1">
      <c r="A36" s="2137"/>
      <c r="B36" s="2136" t="s">
        <v>1842</v>
      </c>
      <c r="C36" s="2136" t="s">
        <v>1843</v>
      </c>
      <c r="D36" s="2136" t="s">
        <v>1844</v>
      </c>
      <c r="E36" s="2136" t="s">
        <v>1845</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1846</v>
      </c>
      <c r="B37" s="2140" t="s">
        <v>137</v>
      </c>
      <c r="C37" s="2140"/>
      <c r="D37" s="2140" t="s">
        <v>442</v>
      </c>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1847</v>
      </c>
      <c r="B38" s="2142" t="s">
        <v>228</v>
      </c>
      <c r="C38" s="2142"/>
      <c r="D38" s="2142" t="s">
        <v>238</v>
      </c>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1848</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1849</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1850</v>
      </c>
      <c r="B42" s="1798" t="s">
        <v>1851</v>
      </c>
      <c r="C42" s="1798" t="s">
        <v>1852</v>
      </c>
      <c r="D42" s="1798" t="s">
        <v>1853</v>
      </c>
      <c r="E42" s="1798" t="s">
        <v>1854</v>
      </c>
      <c r="F42" s="1798" t="s">
        <v>1855</v>
      </c>
      <c r="G42" s="1798" t="s">
        <v>1856</v>
      </c>
      <c r="H42" s="1798" t="s">
        <v>1857</v>
      </c>
      <c r="I42" s="1798" t="s">
        <v>1858</v>
      </c>
      <c r="J42" s="2152" t="s">
        <v>1859</v>
      </c>
      <c r="K42" s="2075" t="s">
        <v>1860</v>
      </c>
      <c r="L42" s="2075" t="s">
        <v>1861</v>
      </c>
      <c r="M42" s="2075" t="s">
        <v>1862</v>
      </c>
      <c r="N42" s="1798" t="s">
        <v>1863</v>
      </c>
      <c r="O42" s="1798" t="s">
        <v>1864</v>
      </c>
      <c r="P42" s="1798" t="s">
        <v>1865</v>
      </c>
      <c r="Q42" s="2074" t="s">
        <v>1866</v>
      </c>
      <c r="R42" s="2074" t="s">
        <v>1867</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2" sqref="N22"/>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1870</v>
      </c>
      <c r="B2" s="11" t="s">
        <v>1871</v>
      </c>
      <c r="C2" s="11" t="s">
        <v>1872</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1873</v>
      </c>
      <c r="AZ2" s="1273" t="s">
        <v>1874</v>
      </c>
      <c r="BA2" s="11" t="s">
        <v>1875</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抵押物清单!L27</f>
        <v>12068.97</v>
      </c>
      <c r="B3" s="14">
        <f>IF(C3="否",G5-AT5,G5)</f>
        <v>44831.789999999994</v>
      </c>
      <c r="C3" s="2168"/>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6"/>
      <c r="C5" s="1806"/>
      <c r="D5" s="1809"/>
      <c r="E5" s="16" t="s">
        <v>1</v>
      </c>
      <c r="F5" s="16">
        <f>SUM(F13:F587)</f>
        <v>0</v>
      </c>
      <c r="G5" s="16">
        <f>SUM(G13:G587)</f>
        <v>44831.789999999994</v>
      </c>
      <c r="H5" s="16">
        <f t="shared" ref="H5:AT5" si="0">SUM(H13:H656)</f>
        <v>44831.789999999994</v>
      </c>
      <c r="I5" s="16">
        <f t="shared" si="0"/>
        <v>44831.789999999994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44831.789999999994</v>
      </c>
      <c r="BA5" s="18">
        <f t="shared" si="1"/>
        <v>44831.789999999994</v>
      </c>
      <c r="BB5" s="18">
        <f t="shared" si="1"/>
        <v>44831.789999999994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12068.97</v>
      </c>
      <c r="F6" s="16" t="s">
        <v>1</v>
      </c>
      <c r="G6" s="16" t="s">
        <v>2</v>
      </c>
      <c r="H6" s="20">
        <f>SUMIF(I$12:AB$12,"总值",I6:AB6)</f>
        <v>12068.97</v>
      </c>
      <c r="I6" s="16">
        <f t="shared" ref="I6:AB6" si="2">ROUND($A$3*I5/$B$3,2)</f>
        <v>12068.97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12068.97</v>
      </c>
      <c r="AZ6" s="16" t="s">
        <v>3</v>
      </c>
      <c r="BA6" s="16">
        <f>ROUND($AY$6*BA5/$AZ$5,2)</f>
        <v>12068.97</v>
      </c>
      <c r="BB6" s="16">
        <f>ROUND($AY$6*BB5/$AZ$5,2)</f>
        <v>12068.97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1885</v>
      </c>
      <c r="AV7" s="23" t="s">
        <v>1886</v>
      </c>
      <c r="AW7" s="2166" t="s">
        <v>1887</v>
      </c>
      <c r="AX7" s="23" t="s">
        <v>1880</v>
      </c>
      <c r="AY7" s="1806"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1"/>
      <c r="K8" s="1821"/>
      <c r="L8" s="1821"/>
      <c r="M8" s="1821"/>
      <c r="N8" s="1821"/>
      <c r="O8" s="1821"/>
      <c r="P8" s="1821"/>
      <c r="Q8" s="1821"/>
      <c r="R8" s="1821"/>
      <c r="S8" s="1821"/>
      <c r="T8" s="1821"/>
      <c r="U8" s="1821"/>
      <c r="V8" s="2186"/>
      <c r="W8" s="1821"/>
      <c r="X8" s="1821"/>
      <c r="Y8" s="1821"/>
      <c r="Z8" s="1821"/>
      <c r="AA8" s="2186"/>
      <c r="AB8" s="2187"/>
      <c r="AC8" s="984" t="s">
        <v>1891</v>
      </c>
      <c r="AD8" s="2188"/>
      <c r="AE8" s="2180"/>
      <c r="AF8" s="1821"/>
      <c r="AG8" s="1821"/>
      <c r="AH8" s="1821"/>
      <c r="AI8" s="1821"/>
      <c r="AJ8" s="1821"/>
      <c r="AK8" s="1821"/>
      <c r="AL8" s="1821"/>
      <c r="AM8" s="1821"/>
      <c r="AN8" s="1821"/>
      <c r="AO8" s="1821"/>
      <c r="AP8" s="1821"/>
      <c r="AQ8" s="1821"/>
      <c r="AR8" s="1821"/>
      <c r="AS8" s="1821"/>
      <c r="AT8" s="1295" t="s">
        <v>1892</v>
      </c>
      <c r="AU8" s="2182" t="s">
        <v>1893</v>
      </c>
      <c r="AV8" s="1295"/>
      <c r="AW8" s="2165"/>
      <c r="AX8" s="1295"/>
      <c r="AY8" s="2166"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1896</v>
      </c>
      <c r="I9" s="2191" t="s">
        <v>3801</v>
      </c>
      <c r="J9" s="984"/>
      <c r="K9" s="2191"/>
      <c r="L9" s="984"/>
      <c r="M9" s="2191"/>
      <c r="N9" s="984"/>
      <c r="O9" s="2191"/>
      <c r="P9" s="984"/>
      <c r="Q9" s="2191"/>
      <c r="R9" s="984"/>
      <c r="S9" s="2191"/>
      <c r="T9" s="984"/>
      <c r="U9" s="2191"/>
      <c r="V9" s="984"/>
      <c r="W9" s="2191"/>
      <c r="X9" s="2192"/>
      <c r="Y9" s="2191"/>
      <c r="Z9" s="984"/>
      <c r="AA9" s="2191"/>
      <c r="AB9" s="984"/>
      <c r="AC9" s="2183"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3"/>
      <c r="AT9" s="2182"/>
      <c r="AU9" s="2182" t="s">
        <v>1899</v>
      </c>
      <c r="AV9" s="1295"/>
      <c r="AW9" s="2165"/>
      <c r="AX9" s="1295"/>
      <c r="AY9" s="28"/>
      <c r="AZ9" s="28" t="s">
        <v>1889</v>
      </c>
      <c r="BA9" s="2194" t="s">
        <v>1900</v>
      </c>
      <c r="BB9" s="2195"/>
      <c r="BC9" s="1341"/>
      <c r="BD9" s="1341"/>
      <c r="BE9" s="1341"/>
      <c r="BF9" s="1341"/>
      <c r="BG9" s="1341"/>
      <c r="BH9" s="1341"/>
      <c r="BI9" s="1341"/>
      <c r="BJ9" s="1341"/>
      <c r="BK9" s="2196"/>
      <c r="BL9" s="15" t="s">
        <v>1901</v>
      </c>
      <c r="BM9" s="1821"/>
      <c r="BN9" s="2185"/>
      <c r="BO9" s="1821"/>
      <c r="BP9" s="1821"/>
      <c r="BQ9" s="1821"/>
      <c r="BR9" s="1821"/>
      <c r="BS9" s="1821"/>
      <c r="BT9" s="26"/>
    </row>
    <row r="10" spans="1:72" s="2189" customFormat="1" ht="12.75">
      <c r="A10" s="2182"/>
      <c r="B10" s="2182"/>
      <c r="C10" s="2182"/>
      <c r="D10" s="2182"/>
      <c r="E10" s="2182"/>
      <c r="F10" s="2182"/>
      <c r="G10" s="1295"/>
      <c r="H10" s="28"/>
      <c r="I10" s="2191" t="s">
        <v>3047</v>
      </c>
      <c r="J10" s="984"/>
      <c r="K10" s="2197"/>
      <c r="L10" s="984"/>
      <c r="M10" s="2197"/>
      <c r="N10" s="984"/>
      <c r="O10" s="2197"/>
      <c r="P10" s="984"/>
      <c r="Q10" s="2197"/>
      <c r="R10" s="984"/>
      <c r="S10" s="2197"/>
      <c r="T10" s="984"/>
      <c r="U10" s="2197"/>
      <c r="V10" s="984"/>
      <c r="W10" s="2197"/>
      <c r="X10" s="984"/>
      <c r="Y10" s="2197"/>
      <c r="Z10" s="984"/>
      <c r="AA10" s="2197"/>
      <c r="AB10" s="984"/>
      <c r="AC10" s="1295"/>
      <c r="AD10" s="15" t="s">
        <v>1902</v>
      </c>
      <c r="AE10" s="2198"/>
      <c r="AF10" s="15" t="s">
        <v>1902</v>
      </c>
      <c r="AG10" s="2198"/>
      <c r="AH10" s="15" t="s">
        <v>1903</v>
      </c>
      <c r="AI10" s="2198"/>
      <c r="AJ10" s="15" t="s">
        <v>1903</v>
      </c>
      <c r="AK10" s="2198"/>
      <c r="AL10" s="15" t="s">
        <v>1904</v>
      </c>
      <c r="AM10" s="1301"/>
      <c r="AN10" s="15" t="s">
        <v>1904</v>
      </c>
      <c r="AO10" s="1301"/>
      <c r="AP10" s="15" t="s">
        <v>1905</v>
      </c>
      <c r="AQ10" s="1301"/>
      <c r="AR10" s="15" t="s">
        <v>1905</v>
      </c>
      <c r="AS10" s="1301"/>
      <c r="AT10" s="2182"/>
      <c r="AU10" s="2182"/>
      <c r="AV10" s="1295"/>
      <c r="AW10" s="2165"/>
      <c r="AX10" s="1295"/>
      <c r="AY10" s="28"/>
      <c r="AZ10" s="28"/>
      <c r="BA10" s="2199" t="s">
        <v>1896</v>
      </c>
      <c r="BB10" s="2200"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1906</v>
      </c>
      <c r="AE11" s="1822"/>
      <c r="AF11" s="2204" t="s">
        <v>1906</v>
      </c>
      <c r="AG11" s="1822"/>
      <c r="AH11" s="2204" t="s">
        <v>1907</v>
      </c>
      <c r="AI11" s="2205"/>
      <c r="AJ11" s="2204" t="s">
        <v>1907</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09"/>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2972">
        <v>1</v>
      </c>
      <c r="D13" s="2213" t="s">
        <v>3768</v>
      </c>
      <c r="E13" s="16">
        <f>IF($C$3="是",ROUND($A$3*G13/$B$3,2),ROUND($A$3*(G13-AT13)/$B$3,2))</f>
        <v>73.510000000000005</v>
      </c>
      <c r="F13" s="32"/>
      <c r="G13" s="33">
        <f>H13+AC13+AT13</f>
        <v>273.05</v>
      </c>
      <c r="H13" s="20">
        <f>SUMIF(I$12:AB$12,"总值",I13:AB13)</f>
        <v>273.05</v>
      </c>
      <c r="I13" s="2214">
        <f>抵押物清单!K35</f>
        <v>273.05</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v>
      </c>
      <c r="AY13" s="1809">
        <f>ROUND($AY$6*AZ13/$AZ$5,2)</f>
        <v>73.510000000000005</v>
      </c>
      <c r="AZ13" s="16">
        <f>BA13+BL13</f>
        <v>273.05</v>
      </c>
      <c r="BA13" s="16">
        <f>SUM(BB13:BK13)</f>
        <v>273.05</v>
      </c>
      <c r="BB13" s="16">
        <f>IF($D13="是",I13-J13,0)</f>
        <v>273.05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972">
        <v>2</v>
      </c>
      <c r="D14" s="2213" t="s">
        <v>3768</v>
      </c>
      <c r="E14" s="16">
        <f>IF($C$3="是",ROUND($A$3*G14/$B$3,2),ROUND($A$3*(G14-AT14)/$B$3,2))</f>
        <v>1745</v>
      </c>
      <c r="F14" s="32"/>
      <c r="G14" s="33">
        <f>H14+AC14+AT14</f>
        <v>6482.0300000000007</v>
      </c>
      <c r="H14" s="20">
        <f>SUMIF(I$12:AB$12,"总值",I14:AB14)</f>
        <v>6482.0300000000007</v>
      </c>
      <c r="I14" s="2214">
        <f>抵押物清单!K36</f>
        <v>6482.0300000000007</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v>
      </c>
      <c r="AY14" s="1809">
        <f>ROUND($AY$6*AZ14/$AZ$5,2)</f>
        <v>1745</v>
      </c>
      <c r="AZ14" s="16">
        <f>BA14+BL14</f>
        <v>6482.0300000000007</v>
      </c>
      <c r="BA14" s="16">
        <f>SUM(BB14:BK14)</f>
        <v>6482.0300000000007</v>
      </c>
      <c r="BB14" s="16">
        <f>IF($D14="是",I14-J14,0)</f>
        <v>6482.0300000000007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972">
        <v>3</v>
      </c>
      <c r="D15" s="2213" t="s">
        <v>3768</v>
      </c>
      <c r="E15" s="16">
        <f>IF($C$3="是",ROUND($A$3*G15/$B$3,2),ROUND($A$3*(G15-AT15)/$B$3,2))</f>
        <v>1451.26</v>
      </c>
      <c r="F15" s="32"/>
      <c r="G15" s="33">
        <f>H15+AC15+AT15</f>
        <v>5390.8900000000012</v>
      </c>
      <c r="H15" s="20">
        <f>SUMIF(I$12:AB$12,"总值",I15:AB15)</f>
        <v>5390.8900000000012</v>
      </c>
      <c r="I15" s="2214">
        <f>抵押物清单!K37</f>
        <v>5390.8900000000012</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3</v>
      </c>
      <c r="AY15" s="1809">
        <f>ROUND($AY$6*AZ15/$AZ$5,2)</f>
        <v>1451.26</v>
      </c>
      <c r="AZ15" s="16">
        <f>BA15+BL15</f>
        <v>5390.8900000000012</v>
      </c>
      <c r="BA15" s="16">
        <f>SUM(BB15:BK15)</f>
        <v>5390.8900000000012</v>
      </c>
      <c r="BB15" s="16">
        <f>IF($D15="是",I15-J15,0)</f>
        <v>5390.8900000000012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972">
        <v>4</v>
      </c>
      <c r="D16" s="2213" t="s">
        <v>3768</v>
      </c>
      <c r="E16" s="16">
        <f>IF($C$3="是",ROUND($A$3*G16/$B$3,2),ROUND($A$3*(G16-AT16)/$B$3,2))</f>
        <v>606.53</v>
      </c>
      <c r="F16" s="32"/>
      <c r="G16" s="33">
        <f>H16+AC16+AT16</f>
        <v>2253.04</v>
      </c>
      <c r="H16" s="20">
        <f>SUMIF(I$12:AB$12,"总值",I16:AB16)</f>
        <v>2253.04</v>
      </c>
      <c r="I16" s="2214">
        <f>抵押物清单!K38</f>
        <v>2253.04</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4</v>
      </c>
      <c r="AY16" s="1809">
        <f>ROUND($AY$6*AZ16/$AZ$5,2)</f>
        <v>606.53</v>
      </c>
      <c r="AZ16" s="16">
        <f>BA16+BL16</f>
        <v>2253.04</v>
      </c>
      <c r="BA16" s="16">
        <f>SUM(BB16:BK16)</f>
        <v>2253.04</v>
      </c>
      <c r="BB16" s="16">
        <f>IF($D16="是",I16-J16,0)</f>
        <v>2253.04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972">
        <v>5</v>
      </c>
      <c r="D17" s="2213" t="s">
        <v>3768</v>
      </c>
      <c r="E17" s="16">
        <f>IF($C$3="是",ROUND($A$3*G17/$B$3,2),ROUND($A$3*(G17-AT17)/$B$3,2))</f>
        <v>1853.91</v>
      </c>
      <c r="F17" s="32"/>
      <c r="G17" s="33">
        <f>H17+AC17+AT17</f>
        <v>6886.6000000000013</v>
      </c>
      <c r="H17" s="20">
        <f>SUMIF(I$12:AB$12,"总值",I17:AB17)</f>
        <v>6886.6000000000013</v>
      </c>
      <c r="I17" s="2214">
        <f>抵押物清单!K39</f>
        <v>6886.6000000000013</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5</v>
      </c>
      <c r="AY17" s="1809">
        <f>ROUND($AY$6*AZ17/$AZ$5,2)</f>
        <v>1853.91</v>
      </c>
      <c r="AZ17" s="16">
        <f>BA17+BL17</f>
        <v>6886.6000000000013</v>
      </c>
      <c r="BA17" s="16">
        <f>SUM(BB17:BK17)</f>
        <v>6886.6000000000013</v>
      </c>
      <c r="BB17" s="16">
        <f>IF($D17="是",I17-J17,0)</f>
        <v>6886.6000000000013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3">
        <v>6</v>
      </c>
      <c r="D18" s="2213" t="s">
        <v>3768</v>
      </c>
      <c r="E18" s="35">
        <f t="shared" ref="E18:E112" si="7">IF($C$3="是",ROUND($A$3*G18/$B$3,2),ROUND($A$3*(G18-AT18)/$B$3,2))</f>
        <v>420.92</v>
      </c>
      <c r="F18" s="36"/>
      <c r="G18" s="37">
        <f t="shared" ref="G18:G109" si="8">H18+AC18+AT18</f>
        <v>1563.55</v>
      </c>
      <c r="H18" s="38">
        <f t="shared" ref="H18:H109" si="9">SUMIF(I$12:AB$12,"总值",I18:AB18)</f>
        <v>1563.55</v>
      </c>
      <c r="I18" s="2214">
        <f>抵押物清单!K40</f>
        <v>1563.55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6</v>
      </c>
      <c r="AY18" s="42">
        <f t="shared" ref="AY18:AY109" si="14">ROUND($AY$6*AZ18/$AZ$5,2)</f>
        <v>420.92</v>
      </c>
      <c r="AZ18" s="35">
        <f t="shared" ref="AZ18:AZ109" si="15">BA18+BL18</f>
        <v>1563.55</v>
      </c>
      <c r="BA18" s="35">
        <f t="shared" ref="BA18:BA109" si="16">SUM(BB18:BK18)</f>
        <v>1563.55</v>
      </c>
      <c r="BB18" s="35">
        <f t="shared" ref="BB18:BB109" si="17">IF($D18="是",I18-J18,0)</f>
        <v>1563.55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3">
        <v>7</v>
      </c>
      <c r="D19" s="2213" t="s">
        <v>3768</v>
      </c>
      <c r="E19" s="35">
        <f t="shared" si="7"/>
        <v>704.72</v>
      </c>
      <c r="F19" s="36"/>
      <c r="G19" s="37">
        <f t="shared" si="8"/>
        <v>2617.77</v>
      </c>
      <c r="H19" s="38">
        <f t="shared" si="9"/>
        <v>2617.77</v>
      </c>
      <c r="I19" s="2214">
        <f>抵押物清单!K41</f>
        <v>2617.77</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7</v>
      </c>
      <c r="AY19" s="42">
        <f t="shared" si="14"/>
        <v>704.72</v>
      </c>
      <c r="AZ19" s="35">
        <f t="shared" si="15"/>
        <v>2617.77</v>
      </c>
      <c r="BA19" s="35">
        <f t="shared" si="16"/>
        <v>2617.77</v>
      </c>
      <c r="BB19" s="35">
        <f t="shared" si="17"/>
        <v>2617.77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73">
        <v>8</v>
      </c>
      <c r="D20" s="2213" t="s">
        <v>3768</v>
      </c>
      <c r="E20" s="35">
        <f t="shared" si="7"/>
        <v>1768.96</v>
      </c>
      <c r="F20" s="36"/>
      <c r="G20" s="37">
        <f t="shared" si="8"/>
        <v>6571.0399999999991</v>
      </c>
      <c r="H20" s="38">
        <f t="shared" si="9"/>
        <v>6571.0399999999991</v>
      </c>
      <c r="I20" s="2214">
        <f>抵押物清单!K42</f>
        <v>6571.0399999999991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8</v>
      </c>
      <c r="AY20" s="42">
        <f t="shared" si="14"/>
        <v>1768.96</v>
      </c>
      <c r="AZ20" s="35">
        <f t="shared" si="15"/>
        <v>6571.0399999999991</v>
      </c>
      <c r="BA20" s="35">
        <f t="shared" si="16"/>
        <v>6571.0399999999991</v>
      </c>
      <c r="BB20" s="35">
        <f t="shared" si="17"/>
        <v>6571.0399999999991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73">
        <v>9</v>
      </c>
      <c r="D21" s="2213" t="s">
        <v>3768</v>
      </c>
      <c r="E21" s="35">
        <f t="shared" si="7"/>
        <v>606.51</v>
      </c>
      <c r="F21" s="36"/>
      <c r="G21" s="37">
        <f t="shared" si="8"/>
        <v>2252.9799999999996</v>
      </c>
      <c r="H21" s="38">
        <f t="shared" si="9"/>
        <v>2252.9799999999996</v>
      </c>
      <c r="I21" s="2214">
        <f>抵押物清单!K43</f>
        <v>2252.9799999999996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9</v>
      </c>
      <c r="AY21" s="42">
        <f t="shared" si="14"/>
        <v>606.51</v>
      </c>
      <c r="AZ21" s="35">
        <f t="shared" si="15"/>
        <v>2252.9799999999996</v>
      </c>
      <c r="BA21" s="35">
        <f t="shared" si="16"/>
        <v>2252.9799999999996</v>
      </c>
      <c r="BB21" s="35">
        <f t="shared" si="17"/>
        <v>2252.9799999999996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73">
        <v>11</v>
      </c>
      <c r="D22" s="2213" t="s">
        <v>3768</v>
      </c>
      <c r="E22" s="35">
        <f t="shared" si="7"/>
        <v>225.73</v>
      </c>
      <c r="F22" s="36"/>
      <c r="G22" s="37">
        <f t="shared" si="8"/>
        <v>838.52</v>
      </c>
      <c r="H22" s="38">
        <f t="shared" si="9"/>
        <v>838.52</v>
      </c>
      <c r="I22" s="2214">
        <f>抵押物清单!K44</f>
        <v>838.52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11</v>
      </c>
      <c r="AY22" s="42">
        <f t="shared" si="14"/>
        <v>225.73</v>
      </c>
      <c r="AZ22" s="35">
        <f t="shared" si="15"/>
        <v>838.52</v>
      </c>
      <c r="BA22" s="35">
        <f t="shared" si="16"/>
        <v>838.52</v>
      </c>
      <c r="BB22" s="35">
        <f t="shared" si="17"/>
        <v>838.52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73">
        <v>12</v>
      </c>
      <c r="D23" s="2213" t="s">
        <v>3768</v>
      </c>
      <c r="E23" s="35">
        <f t="shared" si="7"/>
        <v>696.39</v>
      </c>
      <c r="F23" s="36"/>
      <c r="G23" s="37">
        <f t="shared" si="8"/>
        <v>2586.8499999999995</v>
      </c>
      <c r="H23" s="38">
        <f t="shared" si="9"/>
        <v>2586.8499999999995</v>
      </c>
      <c r="I23" s="2214">
        <f>抵押物清单!K45</f>
        <v>2586.8499999999995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12</v>
      </c>
      <c r="AY23" s="42">
        <f t="shared" si="14"/>
        <v>696.39</v>
      </c>
      <c r="AZ23" s="35">
        <f t="shared" si="15"/>
        <v>2586.8499999999995</v>
      </c>
      <c r="BA23" s="35">
        <f t="shared" si="16"/>
        <v>2586.8499999999995</v>
      </c>
      <c r="BB23" s="35">
        <f t="shared" si="17"/>
        <v>2586.8499999999995</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73">
        <v>13</v>
      </c>
      <c r="D24" s="2213" t="s">
        <v>3768</v>
      </c>
      <c r="E24" s="35">
        <f t="shared" si="7"/>
        <v>601.55999999999995</v>
      </c>
      <c r="F24" s="36"/>
      <c r="G24" s="37">
        <f t="shared" si="8"/>
        <v>2234.56</v>
      </c>
      <c r="H24" s="38">
        <f t="shared" si="9"/>
        <v>2234.56</v>
      </c>
      <c r="I24" s="2214">
        <f>抵押物清单!K46</f>
        <v>2234.56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13</v>
      </c>
      <c r="AY24" s="42">
        <f t="shared" si="14"/>
        <v>601.55999999999995</v>
      </c>
      <c r="AZ24" s="35">
        <f t="shared" si="15"/>
        <v>2234.56</v>
      </c>
      <c r="BA24" s="35">
        <f t="shared" si="16"/>
        <v>2234.56</v>
      </c>
      <c r="BB24" s="35">
        <f t="shared" si="17"/>
        <v>2234.56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73">
        <v>14</v>
      </c>
      <c r="D25" s="2213" t="s">
        <v>3768</v>
      </c>
      <c r="E25" s="35">
        <f t="shared" si="7"/>
        <v>696.33</v>
      </c>
      <c r="F25" s="36"/>
      <c r="G25" s="37">
        <f t="shared" si="8"/>
        <v>2586.61</v>
      </c>
      <c r="H25" s="38">
        <f t="shared" si="9"/>
        <v>2586.61</v>
      </c>
      <c r="I25" s="2214">
        <f>抵押物清单!K47</f>
        <v>2586.61</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14</v>
      </c>
      <c r="AY25" s="42">
        <f t="shared" si="14"/>
        <v>696.33</v>
      </c>
      <c r="AZ25" s="35">
        <f t="shared" si="15"/>
        <v>2586.61</v>
      </c>
      <c r="BA25" s="35">
        <f t="shared" si="16"/>
        <v>2586.61</v>
      </c>
      <c r="BB25" s="35">
        <f t="shared" si="17"/>
        <v>2586.61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73">
        <v>15</v>
      </c>
      <c r="D26" s="2213" t="s">
        <v>3768</v>
      </c>
      <c r="E26" s="35">
        <f t="shared" si="7"/>
        <v>617.64</v>
      </c>
      <c r="F26" s="36"/>
      <c r="G26" s="37">
        <f t="shared" si="8"/>
        <v>2294.3000000000002</v>
      </c>
      <c r="H26" s="38">
        <f t="shared" si="9"/>
        <v>2294.3000000000002</v>
      </c>
      <c r="I26" s="2214">
        <f>抵押物清单!K48</f>
        <v>2294.3000000000002</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15</v>
      </c>
      <c r="AY26" s="42">
        <f t="shared" si="14"/>
        <v>617.64</v>
      </c>
      <c r="AZ26" s="35">
        <f t="shared" si="15"/>
        <v>2294.3000000000002</v>
      </c>
      <c r="BA26" s="35">
        <f t="shared" si="16"/>
        <v>2294.3000000000002</v>
      </c>
      <c r="BB26" s="35">
        <f t="shared" si="17"/>
        <v>2294.3000000000002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5"/>
      <c r="C1" s="1395"/>
      <c r="D1" s="1395"/>
      <c r="E1" s="1395"/>
      <c r="F1" s="1395"/>
      <c r="G1" s="1395"/>
      <c r="H1" s="1395"/>
      <c r="I1" s="1395"/>
      <c r="J1" s="1395"/>
      <c r="K1" s="1395"/>
      <c r="L1" s="1395"/>
      <c r="M1" s="1395"/>
      <c r="N1" s="1395"/>
      <c r="O1" s="1395"/>
      <c r="P1" s="1395"/>
    </row>
    <row r="2" spans="1:16" ht="15">
      <c r="A2" s="3063" t="s">
        <v>1936</v>
      </c>
      <c r="B2" s="3063"/>
      <c r="C2" s="3063"/>
      <c r="D2" s="970" t="s">
        <v>1912</v>
      </c>
      <c r="E2" s="2227" t="s">
        <v>1913</v>
      </c>
      <c r="F2" s="1395"/>
      <c r="G2" s="2228"/>
      <c r="H2" s="2229"/>
      <c r="I2" s="2230" t="s">
        <v>1937</v>
      </c>
      <c r="J2" s="1395"/>
      <c r="K2" s="1395"/>
      <c r="L2" s="1395"/>
      <c r="M2" s="1395"/>
      <c r="N2" s="1430"/>
      <c r="O2" s="1395"/>
      <c r="P2" s="1395"/>
    </row>
    <row r="3" spans="1:16" ht="15.75" thickBot="1">
      <c r="A3" s="3064" t="s">
        <v>1910</v>
      </c>
      <c r="B3" s="3064"/>
      <c r="C3" s="3064"/>
      <c r="D3" s="46">
        <f>'数据-基础表'!AY6</f>
        <v>12068.97</v>
      </c>
      <c r="E3" s="46">
        <f>'数据-基础表'!AZ5</f>
        <v>44831.789999999994</v>
      </c>
      <c r="F3" s="1395"/>
      <c r="G3" s="1402"/>
      <c r="H3" s="1250" t="s">
        <v>1911</v>
      </c>
      <c r="I3" s="55">
        <f>ROUND('数据-基础表'!B3/'数据-基础表'!A3,2)</f>
        <v>3.71</v>
      </c>
      <c r="J3" s="1395"/>
      <c r="K3" s="1395"/>
      <c r="L3" s="1395"/>
      <c r="M3" s="1395"/>
      <c r="N3" s="1430"/>
      <c r="O3" s="1395"/>
      <c r="P3" s="1395"/>
    </row>
    <row r="4" spans="1:16" ht="15">
      <c r="A4" s="3065"/>
      <c r="B4" s="3066"/>
      <c r="C4" s="3067"/>
      <c r="D4" s="2231" t="s">
        <v>1912</v>
      </c>
      <c r="E4" s="2232" t="s">
        <v>1913</v>
      </c>
      <c r="F4" s="1395"/>
      <c r="G4" s="2233" t="s">
        <v>1938</v>
      </c>
      <c r="H4" s="1250" t="s">
        <v>1918</v>
      </c>
      <c r="I4" s="55">
        <f>ROUND(SUMIF('数据-基础表'!I9:AS9,"地上",'数据-基础表'!I5:AS5)/'数据-基础表'!A3,2)</f>
        <v>3.71</v>
      </c>
      <c r="J4" s="1395"/>
      <c r="K4" s="1395"/>
      <c r="L4" s="1395"/>
      <c r="M4" s="1395"/>
      <c r="N4" s="1430"/>
      <c r="O4" s="1395"/>
      <c r="P4" s="1395"/>
    </row>
    <row r="5" spans="1:16">
      <c r="A5" s="47" t="s">
        <v>1914</v>
      </c>
      <c r="B5" s="3068" t="s">
        <v>1915</v>
      </c>
      <c r="C5" s="3068"/>
      <c r="D5" s="48">
        <f>ROUND($D$3*E5/$E$3,2)</f>
        <v>12068.97</v>
      </c>
      <c r="E5" s="49">
        <f>SUMIF('数据-基础表'!$11:$11,"住宅",'数据-基础表'!$5:$5)</f>
        <v>44831.789999999994</v>
      </c>
      <c r="F5" s="1395"/>
      <c r="G5" s="1402"/>
      <c r="H5" s="1250" t="s">
        <v>1911</v>
      </c>
      <c r="I5" s="55">
        <f>ROUND(E31/D31,2)</f>
        <v>3.71</v>
      </c>
      <c r="J5" s="1395"/>
      <c r="K5" s="1395"/>
      <c r="L5" s="1395"/>
      <c r="M5" s="1395"/>
      <c r="N5" s="1395"/>
      <c r="O5" s="1395"/>
      <c r="P5" s="1395"/>
    </row>
    <row r="6" spans="1:16" ht="15" thickBot="1">
      <c r="A6" s="2234"/>
      <c r="B6" s="3068" t="s">
        <v>1916</v>
      </c>
      <c r="C6" s="3068"/>
      <c r="D6" s="48">
        <f>ROUND($D$3*E6/$E$3,2)</f>
        <v>0</v>
      </c>
      <c r="E6" s="49">
        <f>E3-E5</f>
        <v>0</v>
      </c>
      <c r="F6" s="1395"/>
      <c r="G6" s="2235" t="s">
        <v>1917</v>
      </c>
      <c r="H6" s="1402" t="s">
        <v>1918</v>
      </c>
      <c r="I6" s="942">
        <f>ROUND(F31/D31,2)</f>
        <v>3.71</v>
      </c>
      <c r="J6" s="1395"/>
      <c r="K6" s="1395"/>
      <c r="L6" s="1395"/>
      <c r="M6" s="1395"/>
      <c r="N6" s="1395"/>
      <c r="O6" s="1395"/>
      <c r="P6" s="1395"/>
    </row>
    <row r="7" spans="1:16" ht="15">
      <c r="A7" s="3060"/>
      <c r="B7" s="3061"/>
      <c r="C7" s="3062"/>
      <c r="D7" s="2231" t="s">
        <v>1912</v>
      </c>
      <c r="E7" s="2236" t="s">
        <v>1919</v>
      </c>
      <c r="F7" s="1395"/>
      <c r="G7" s="2228" t="s">
        <v>1920</v>
      </c>
      <c r="H7" s="64"/>
      <c r="I7" s="420"/>
      <c r="J7" s="1395"/>
      <c r="K7" s="1395"/>
      <c r="L7" s="1395"/>
      <c r="M7" s="1395"/>
      <c r="N7" s="1395"/>
      <c r="O7" s="1395"/>
      <c r="P7" s="1395"/>
    </row>
    <row r="8" spans="1:16">
      <c r="A8" s="47" t="s">
        <v>1921</v>
      </c>
      <c r="B8" s="50" t="s">
        <v>1922</v>
      </c>
      <c r="C8" s="48" t="s">
        <v>1923</v>
      </c>
      <c r="D8" s="48">
        <f t="shared" ref="D8:D15" si="0">ROUND($D$3*E8/$E$3,2)</f>
        <v>12068.97</v>
      </c>
      <c r="E8" s="51">
        <f>SUMIF('数据-基础表'!BB10:BK10,"地上",'数据-基础表'!BB5:BK5)</f>
        <v>44831.789999999994</v>
      </c>
      <c r="F8" s="1395"/>
      <c r="G8" s="2237"/>
      <c r="H8" s="2237"/>
      <c r="I8" s="1395"/>
      <c r="J8" s="1395"/>
      <c r="K8" s="1395"/>
      <c r="L8" s="1395"/>
      <c r="M8" s="1395"/>
      <c r="N8" s="1395"/>
      <c r="O8" s="1395"/>
      <c r="P8" s="1395"/>
    </row>
    <row r="9" spans="1:16">
      <c r="A9" s="2238"/>
      <c r="B9" s="2239"/>
      <c r="C9" s="48" t="s">
        <v>1924</v>
      </c>
      <c r="D9" s="48">
        <f t="shared" si="0"/>
        <v>0</v>
      </c>
      <c r="E9" s="52">
        <v>0</v>
      </c>
      <c r="F9" s="1395"/>
      <c r="G9" s="2237"/>
      <c r="H9" s="2237"/>
      <c r="I9" s="1395"/>
      <c r="J9" s="1395"/>
      <c r="K9" s="1395"/>
      <c r="L9" s="1395"/>
      <c r="M9" s="1395"/>
      <c r="N9" s="1395"/>
      <c r="O9" s="1395"/>
      <c r="P9" s="1395"/>
    </row>
    <row r="10" spans="1:16">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1928</v>
      </c>
      <c r="D16" s="50">
        <f>SUM(D8:D15)</f>
        <v>12068.97</v>
      </c>
      <c r="E16" s="53">
        <f>SUM(E8:E15)</f>
        <v>44831.789999999994</v>
      </c>
      <c r="F16" s="1395"/>
      <c r="G16" s="2237"/>
      <c r="H16" s="2240" t="s">
        <v>1940</v>
      </c>
      <c r="I16" s="2241"/>
      <c r="J16" s="1395"/>
      <c r="K16" s="3057" t="s">
        <v>1940</v>
      </c>
      <c r="L16" s="3058"/>
      <c r="M16" s="3058"/>
      <c r="N16" s="3058"/>
      <c r="O16" s="3058"/>
      <c r="P16" s="3059"/>
    </row>
    <row r="17" spans="1:19" ht="15">
      <c r="A17" s="2242" t="s">
        <v>1941</v>
      </c>
      <c r="B17" s="2243" t="s">
        <v>1942</v>
      </c>
      <c r="C17" s="2244" t="s">
        <v>1943</v>
      </c>
      <c r="D17" s="2245" t="s">
        <v>1931</v>
      </c>
      <c r="E17" s="2246" t="s">
        <v>1932</v>
      </c>
      <c r="F17" s="2247"/>
      <c r="G17" s="2248"/>
      <c r="H17" s="2249" t="s">
        <v>1944</v>
      </c>
      <c r="I17" s="2250" t="s">
        <v>1929</v>
      </c>
      <c r="J17" s="1395"/>
      <c r="K17" s="3054" t="s">
        <v>1945</v>
      </c>
      <c r="L17" s="3055"/>
      <c r="M17" s="3056"/>
      <c r="N17" s="3054" t="s">
        <v>1946</v>
      </c>
      <c r="O17" s="3055"/>
      <c r="P17" s="3056"/>
      <c r="R17" s="2228" t="s">
        <v>1947</v>
      </c>
      <c r="S17" s="64"/>
    </row>
    <row r="18" spans="1:19" ht="15">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c r="A19" s="2259"/>
      <c r="B19" s="50" t="s">
        <v>1930</v>
      </c>
      <c r="C19" s="2965" t="s">
        <v>3803</v>
      </c>
      <c r="D19" s="48">
        <f>ROUND($D$3*E19/$E$3,2)</f>
        <v>73.510000000000005</v>
      </c>
      <c r="E19" s="56">
        <f t="shared" ref="E19:E26" si="1">SUM(F19:G19)</f>
        <v>273.05</v>
      </c>
      <c r="F19" s="57">
        <f>'数据-基础表'!I13</f>
        <v>273.05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73.510000000000005</v>
      </c>
      <c r="S19" s="1251">
        <f t="shared" si="5"/>
        <v>273.05</v>
      </c>
    </row>
    <row r="20" spans="1:19">
      <c r="A20" s="2263"/>
      <c r="B20" s="50" t="s">
        <v>1958</v>
      </c>
      <c r="C20" s="2965" t="s">
        <v>3804</v>
      </c>
      <c r="D20" s="48">
        <f t="shared" ref="D20:D26" si="6">ROUND($D$3*E20/$E$3,2)</f>
        <v>11995.46</v>
      </c>
      <c r="E20" s="56">
        <f t="shared" si="1"/>
        <v>44558.740000000005</v>
      </c>
      <c r="F20" s="57">
        <f>SUM('数据-基础表'!I14:I26)</f>
        <v>44558.740000000005</v>
      </c>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11995.46</v>
      </c>
      <c r="S20" s="1251">
        <f t="shared" si="5"/>
        <v>44558.740000000005</v>
      </c>
    </row>
    <row r="21" spans="1:19">
      <c r="A21" s="2263"/>
      <c r="B21" s="50" t="s">
        <v>1958</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1959</v>
      </c>
      <c r="D27" s="1396">
        <f>SUM(D19:D26)</f>
        <v>12068.97</v>
      </c>
      <c r="E27" s="1397">
        <f>IF(SUM(E19:E26)='数据-基础表'!BA5,SUM(E19:E26),IF(F27="地上面积有误","面积有误","地下面积有误"))</f>
        <v>44831.790000000008</v>
      </c>
      <c r="F27" s="1396">
        <f>IF(SUM(F19:F26)=E8,SUM(F19:F26),"地上面积有误")</f>
        <v>44831.790000000008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12068.97</v>
      </c>
      <c r="S27" s="1250">
        <f>IF(SUM(S19:S26)=$E$3,SUM(S19:S26),SUM(S19:S26)&amp;"误差"&amp;ROUND(SUM(S19:S26)-E3,2))</f>
        <v>44831.790000000008</v>
      </c>
    </row>
    <row r="28" spans="1:19">
      <c r="A28" s="2263"/>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1963</v>
      </c>
      <c r="D31" s="729">
        <f>D27+D30</f>
        <v>12068.97</v>
      </c>
      <c r="E31" s="729">
        <f>E27+E30</f>
        <v>44831.790000000008</v>
      </c>
      <c r="F31" s="730">
        <f>F27+F30</f>
        <v>44831.790000000008</v>
      </c>
      <c r="G31" s="731">
        <f>G27+G30</f>
        <v>0</v>
      </c>
      <c r="H31" s="1395"/>
      <c r="I31" s="1395"/>
      <c r="J31" s="1395"/>
      <c r="K31" s="1395"/>
      <c r="L31" s="1395"/>
      <c r="M31" s="1395"/>
      <c r="N31" s="1395"/>
      <c r="O31" s="1395"/>
      <c r="P31" s="1395"/>
    </row>
    <row r="32" spans="1:19">
      <c r="A32" s="2233"/>
      <c r="B32" s="2233" t="s">
        <v>1964</v>
      </c>
      <c r="C32" s="2233"/>
      <c r="D32" s="2233"/>
      <c r="E32" s="1277">
        <f>SUMIF(C19:C26,"*住宅*",E19:E26)</f>
        <v>44558.740000000005</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S26" sqref="S2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1966</v>
      </c>
      <c r="B2" s="1269">
        <f>项目基本情况!D3</f>
        <v>43430</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3769</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4" t="s">
        <v>2006</v>
      </c>
      <c r="AP5" s="1252"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基准户型</v>
      </c>
      <c r="B6" s="2307" t="str">
        <f>IF(A6=0,"","经营性")</f>
        <v>经营性</v>
      </c>
      <c r="C6" s="2308" t="s">
        <v>3047</v>
      </c>
      <c r="D6" s="1054">
        <f>SUMIF(项目基本情况!D$12:I$12,C6,项目基本情况!D$14:I$14)</f>
        <v>70</v>
      </c>
      <c r="E6" s="1051">
        <f>IF(B6="","",SUMIF(项目基本情况!D$12:I$12,C6,项目基本情况!D$13:I$13))</f>
        <v>66689</v>
      </c>
      <c r="F6" s="72">
        <f>SUMIF(项目基本情况!D$12:I$12,C6,项目基本情况!D$15:I$15)</f>
        <v>63.72</v>
      </c>
      <c r="G6" s="73">
        <f>IF(ISERROR(ROUND(POWER(1+H6,D6-F6)*(POWER(1+H6,F6)-1)/(POWER(1+H6,D6)-1),3)),0,ROUND(POWER(1+H6,D6-F6)*(POWER(1+H6,F6)-1)/(POWER(1+H6,D6)-1),3))</f>
        <v>0.98499999999999999</v>
      </c>
      <c r="H6" s="802">
        <v>4.4999999999999998E-2</v>
      </c>
      <c r="I6" s="802">
        <v>0.05</v>
      </c>
      <c r="J6" s="74">
        <v>8.5000000000000006E-2</v>
      </c>
      <c r="K6" s="1254">
        <f>SUMIF('数据-汇总表'!C$19:C$33,A6,'数据-汇总表'!E$19:E$33)</f>
        <v>273.05</v>
      </c>
      <c r="L6" s="803">
        <v>15000</v>
      </c>
      <c r="M6" s="75">
        <f t="shared" ref="M6:M14" si="0">ROUND(K6*L6/10000,0)</f>
        <v>410</v>
      </c>
      <c r="N6" s="801">
        <f>ROUND((60-(2018-2014))/60,3)</f>
        <v>0.93300000000000005</v>
      </c>
      <c r="O6" s="75" t="str">
        <f>IF($N$5="成新度","——",ROUND(M6*N6,0))</f>
        <v>——</v>
      </c>
      <c r="P6" s="76" t="str">
        <f>IF($N$5="成新度","——",M6-O6)</f>
        <v>——</v>
      </c>
      <c r="Q6" s="804">
        <v>0.2</v>
      </c>
      <c r="R6" s="77">
        <f ca="1">SUMIF('数据-汇总表'!C$19:C$33,A6,'数据-汇总表'!R$19:R$27)</f>
        <v>73.510000000000005</v>
      </c>
      <c r="S6" s="54">
        <f>IF('数据-汇总表'!$I$17="按面积比例",SUMIF('数据-汇总表'!C$19:C$33,A6,'数据-汇总表'!K$19:K$33),SUMIF('数据-汇总表'!C$19:C$33,A6,'数据-汇总表'!N$19:N$33))</f>
        <v>0</v>
      </c>
      <c r="T6" s="1446">
        <f>ROUND($L$14*S6/10000,0)</f>
        <v>0</v>
      </c>
      <c r="U6" s="78">
        <v>13</v>
      </c>
      <c r="V6" s="79">
        <v>3.5000000000000003E-2</v>
      </c>
      <c r="W6" s="79">
        <v>0.08</v>
      </c>
      <c r="X6" s="1264"/>
      <c r="Y6" s="80">
        <f>N6</f>
        <v>0.93300000000000005</v>
      </c>
      <c r="Z6" s="81"/>
      <c r="AA6" s="74"/>
      <c r="AB6" s="74"/>
      <c r="AC6" s="1264"/>
      <c r="AD6" s="82"/>
      <c r="AE6" s="1265">
        <f ca="1">IF(AN6="",0,SUMIF(INDIRECT("'"&amp;AN6&amp;"'"&amp;"!E:E"),$AE$5,INDIRECT("'"&amp;AN6&amp;"'"&amp;"!F:F")))</f>
        <v>56</v>
      </c>
      <c r="AF6" s="1807"/>
      <c r="AG6" s="147">
        <f>IF(AF6="",0,AE6-AF6)</f>
        <v>0</v>
      </c>
      <c r="AH6" s="83"/>
      <c r="AI6" s="85">
        <v>365</v>
      </c>
      <c r="AJ6" s="86"/>
      <c r="AK6" s="87">
        <v>1.4999999999999999E-2</v>
      </c>
      <c r="AL6" s="88">
        <v>1.5E-3</v>
      </c>
      <c r="AM6" s="89">
        <v>0.02</v>
      </c>
      <c r="AN6" s="2309" t="s">
        <v>3770</v>
      </c>
      <c r="AO6" s="55">
        <f ca="1">SUMIF(INDIRECT("'"&amp;AN6&amp;"'"&amp;"!A:A"),"总价",INDIRECT("'"&amp;AN6&amp;"'"&amp;"!B:B"))</f>
        <v>3135</v>
      </c>
      <c r="AP6" s="2310">
        <f>IF(C6="住宅",K6*L6,0)</f>
        <v>4095750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其余住宅</v>
      </c>
      <c r="B7" s="2307" t="str">
        <f t="shared" ref="B7:B13" si="1">IF(A7=0,"","经营性")</f>
        <v>经营性</v>
      </c>
      <c r="C7" s="2308" t="s">
        <v>3047</v>
      </c>
      <c r="D7" s="1054">
        <f>SUMIF(项目基本情况!D$12:I$12,C7,项目基本情况!D$14:I$14)</f>
        <v>70</v>
      </c>
      <c r="E7" s="1051">
        <f>IF(B7="","",SUMIF(项目基本情况!D$12:I$12,C7,项目基本情况!D$13:I$13))</f>
        <v>66689</v>
      </c>
      <c r="F7" s="72">
        <f>SUMIF(项目基本情况!D$12:I$12,C7,项目基本情况!D$15:I$15)</f>
        <v>63.72</v>
      </c>
      <c r="G7" s="73">
        <f t="shared" ref="G7:G11" si="2">IF(ISERROR(ROUND(POWER(1+H7,D7-F7)*(POWER(1+H7,F7)-1)/(POWER(1+H7,D7)-1),3)),0,ROUND(POWER(1+H7,D7-F7)*(POWER(1+H7,F7)-1)/(POWER(1+H7,D7)-1),3))</f>
        <v>0</v>
      </c>
      <c r="H7" s="802"/>
      <c r="I7" s="802"/>
      <c r="J7" s="74"/>
      <c r="K7" s="1254">
        <f>SUMIF('数据-汇总表'!C$19:C$33,A7,'数据-汇总表'!E$19:E$33)</f>
        <v>44558.740000000005</v>
      </c>
      <c r="L7" s="803"/>
      <c r="M7" s="75">
        <f t="shared" si="0"/>
        <v>0</v>
      </c>
      <c r="N7" s="801"/>
      <c r="O7" s="75" t="str">
        <f t="shared" ref="O7:O14" si="3">IF($N$5="成新度","——",ROUND(M7*N7,0))</f>
        <v>——</v>
      </c>
      <c r="P7" s="76" t="str">
        <f t="shared" ref="P7:P14" si="4">IF($N$5="成新度","——",M7-O7)</f>
        <v>——</v>
      </c>
      <c r="Q7" s="804"/>
      <c r="R7" s="77">
        <f ca="1">SUMIF('数据-汇总表'!C$19:C$33,A7,'数据-汇总表'!R$19:R$27)</f>
        <v>11995.46</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2014</v>
      </c>
      <c r="B16" s="97"/>
      <c r="C16" s="1008"/>
      <c r="D16" s="2314"/>
      <c r="E16" s="97"/>
      <c r="F16" s="97"/>
      <c r="G16" s="98">
        <f>ROUND(SUMPRODUCT(G6:G13,K6:K13)/SUMPRODUCT((G6:G13&gt;0)*(K6:K13)),3)</f>
        <v>0.98499999999999999</v>
      </c>
      <c r="H16" s="99">
        <f>ROUND(SUMPRODUCT(H6:H13,K6:K13)/SUMPRODUCT((H6:H13&gt;0)*(K6:K13)),3)</f>
        <v>4.4999999999999998E-2</v>
      </c>
      <c r="I16" s="100"/>
      <c r="J16" s="100"/>
      <c r="K16" s="101">
        <f>SUM(K6:K15)</f>
        <v>44831.790000000008</v>
      </c>
      <c r="L16" s="102">
        <f>ROUND(M16*10000/SUM(K6:K14),0)</f>
        <v>91</v>
      </c>
      <c r="M16" s="102">
        <f>SUM(M6:M14)</f>
        <v>410</v>
      </c>
      <c r="N16" s="103">
        <f>ROUND(SUMPRODUCT(M6:M14,N6:N14)/M16,3)</f>
        <v>0.93300000000000005</v>
      </c>
      <c r="O16" s="102">
        <f>SUM(O6:O14)</f>
        <v>0</v>
      </c>
      <c r="P16" s="102">
        <f>SUM(P6:P14)</f>
        <v>0</v>
      </c>
      <c r="Q16" s="104">
        <f>ROUND(SUMPRODUCT(Q6:Q13,K6:K13)/SUMPRODUCT((Q6:Q13&gt;0)*(K6:K13)),2)</f>
        <v>0.2</v>
      </c>
      <c r="R16" s="1258">
        <f ca="1">SUM(R6:R13)</f>
        <v>12068.97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2018</v>
      </c>
      <c r="B20" s="113">
        <v>2.5</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2.5</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2.5</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2.5</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v>160</v>
      </c>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f ca="1">成本法!C10</f>
        <v>0</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0.05</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0.02</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0.02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12</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137</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v>12</v>
      </c>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69" t="s">
        <v>2081</v>
      </c>
      <c r="B1" s="3070"/>
      <c r="C1" s="3070"/>
      <c r="D1" s="3070"/>
      <c r="E1" s="3070"/>
      <c r="F1" s="3070"/>
      <c r="G1" s="307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94.5">
      <c r="A3" s="415" t="s">
        <v>2084</v>
      </c>
      <c r="B3" s="1271" t="s">
        <v>2085</v>
      </c>
      <c r="C3" s="2966" t="s">
        <v>3782</v>
      </c>
      <c r="D3" s="2370"/>
      <c r="E3" s="431" t="s">
        <v>2084</v>
      </c>
      <c r="F3" s="2371" t="s">
        <v>2086</v>
      </c>
      <c r="G3" s="2372" t="s">
        <v>2087</v>
      </c>
      <c r="H3" s="2368"/>
      <c r="I3" s="2368"/>
      <c r="J3" s="2368"/>
      <c r="K3" s="2368"/>
      <c r="L3" s="2368"/>
      <c r="M3" s="2368"/>
      <c r="N3" s="2368"/>
      <c r="O3" s="2368"/>
      <c r="P3" s="2368"/>
      <c r="Q3" s="2368"/>
      <c r="R3" s="2368"/>
    </row>
    <row r="4" spans="1:29" ht="40.5">
      <c r="A4" s="431"/>
      <c r="B4" s="1798" t="s">
        <v>2088</v>
      </c>
      <c r="C4" s="2373"/>
      <c r="D4" s="2370"/>
      <c r="E4" s="2374"/>
      <c r="F4" s="42" t="s">
        <v>2089</v>
      </c>
      <c r="G4" s="2375" t="s">
        <v>2090</v>
      </c>
      <c r="H4" s="2368"/>
      <c r="I4" s="2368"/>
      <c r="J4" s="2368"/>
      <c r="K4" s="2368"/>
      <c r="L4" s="2368"/>
      <c r="M4" s="2368"/>
      <c r="N4" s="2368"/>
      <c r="O4" s="2368"/>
      <c r="P4" s="2368"/>
      <c r="Q4" s="2368"/>
      <c r="R4" s="2368"/>
    </row>
    <row r="5" spans="1:29" ht="27">
      <c r="A5" s="431"/>
      <c r="B5" s="1798" t="s">
        <v>2091</v>
      </c>
      <c r="C5" s="2373"/>
      <c r="D5" s="2370"/>
      <c r="E5" s="2374"/>
      <c r="F5" s="1798" t="s">
        <v>2092</v>
      </c>
      <c r="G5" s="2375" t="s">
        <v>2093</v>
      </c>
      <c r="H5" s="2368"/>
      <c r="I5" s="2368"/>
      <c r="J5" s="2368"/>
      <c r="K5" s="2368"/>
      <c r="L5" s="2368"/>
      <c r="M5" s="2368"/>
      <c r="N5" s="2368"/>
      <c r="O5" s="2368"/>
      <c r="P5" s="2368"/>
      <c r="Q5" s="2368"/>
      <c r="R5" s="2368"/>
    </row>
    <row r="6" spans="1:29" ht="148.5">
      <c r="A6" s="431"/>
      <c r="B6" s="1798" t="s">
        <v>2094</v>
      </c>
      <c r="C6" s="2967" t="s">
        <v>3841</v>
      </c>
      <c r="D6" s="2370"/>
      <c r="E6" s="2374"/>
      <c r="F6" s="1798" t="s">
        <v>2095</v>
      </c>
      <c r="G6" s="2375" t="s">
        <v>2096</v>
      </c>
      <c r="H6" s="2368"/>
      <c r="I6" s="2368"/>
      <c r="J6" s="2368"/>
      <c r="K6" s="2368"/>
      <c r="L6" s="2368"/>
      <c r="M6" s="2368"/>
      <c r="N6" s="2368"/>
      <c r="O6" s="2368"/>
      <c r="P6" s="2368"/>
      <c r="Q6" s="2368"/>
      <c r="R6" s="2368"/>
    </row>
    <row r="7" spans="1:29" ht="122.25" thickBot="1">
      <c r="A7" s="431"/>
      <c r="B7" s="1798" t="s">
        <v>2092</v>
      </c>
      <c r="C7" s="2967" t="s">
        <v>3842</v>
      </c>
      <c r="D7" s="2376"/>
      <c r="E7" s="2377"/>
      <c r="F7" s="2378" t="s">
        <v>2097</v>
      </c>
      <c r="G7" s="2379" t="s">
        <v>2098</v>
      </c>
      <c r="H7" s="2368"/>
      <c r="I7" s="2368"/>
      <c r="J7" s="2368"/>
      <c r="K7" s="2368"/>
      <c r="L7" s="2368"/>
      <c r="M7" s="2368"/>
      <c r="N7" s="2368"/>
      <c r="O7" s="2368"/>
      <c r="P7" s="2368"/>
      <c r="Q7" s="2368"/>
      <c r="R7" s="2368"/>
    </row>
    <row r="8" spans="1:29" ht="27">
      <c r="A8" s="431"/>
      <c r="B8" s="1798" t="s">
        <v>2095</v>
      </c>
      <c r="C8" s="2967" t="s">
        <v>3808</v>
      </c>
      <c r="D8" s="2376"/>
      <c r="E8" s="2376"/>
      <c r="F8" s="1136"/>
      <c r="G8" s="1136"/>
      <c r="H8" s="2368"/>
      <c r="I8" s="2368"/>
      <c r="J8" s="2368"/>
      <c r="K8" s="2368"/>
      <c r="L8" s="2368"/>
      <c r="M8" s="2368"/>
      <c r="N8" s="2368"/>
      <c r="O8" s="2368"/>
      <c r="P8" s="2368"/>
      <c r="Q8" s="2368"/>
      <c r="R8" s="2368"/>
    </row>
    <row r="9" spans="1:29" ht="94.5">
      <c r="A9" s="431"/>
      <c r="B9" s="1798" t="s">
        <v>2099</v>
      </c>
      <c r="C9" s="2968" t="s">
        <v>3843</v>
      </c>
      <c r="D9" s="2370"/>
      <c r="E9" s="2376"/>
      <c r="F9" s="1136"/>
      <c r="G9" s="1136"/>
      <c r="H9" s="2368"/>
      <c r="I9" s="2368"/>
      <c r="J9" s="2368"/>
      <c r="K9" s="2368"/>
      <c r="L9" s="2368"/>
      <c r="M9" s="2368"/>
      <c r="N9" s="2368"/>
      <c r="O9" s="2368"/>
      <c r="P9" s="2368"/>
      <c r="Q9" s="2368"/>
      <c r="R9" s="2368"/>
    </row>
    <row r="10" spans="1:29" s="117" customFormat="1" ht="15.75" thickBot="1">
      <c r="A10" s="2380"/>
      <c r="B10" s="2381" t="s">
        <v>2100</v>
      </c>
      <c r="C10" s="2382" t="s">
        <v>3783</v>
      </c>
      <c r="D10" s="2370"/>
      <c r="E10" s="2370"/>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0"/>
      <c r="D12" s="2387"/>
      <c r="E12" s="2370"/>
      <c r="F12" s="2376"/>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2101</v>
      </c>
      <c r="B13" s="2387"/>
      <c r="C13" s="2387"/>
      <c r="D13" s="2394"/>
      <c r="E13" s="2387"/>
      <c r="F13" s="2387"/>
      <c r="G13" s="2387"/>
    </row>
    <row r="14" spans="1:29" ht="15.75" thickBot="1">
      <c r="A14" s="2398"/>
      <c r="B14" s="2399"/>
      <c r="C14" s="2400" t="s">
        <v>2102</v>
      </c>
      <c r="D14" s="2370"/>
      <c r="E14" s="2401"/>
      <c r="F14" s="2401"/>
      <c r="G14" s="2365" t="s">
        <v>2103</v>
      </c>
    </row>
    <row r="15" spans="1:29" ht="99.75">
      <c r="A15" s="68" t="s">
        <v>2104</v>
      </c>
      <c r="B15" s="1270" t="s">
        <v>2085</v>
      </c>
      <c r="C15" s="2402" t="str">
        <f>C3</f>
        <v>估价对象周边居住用地比例较大，分布有万泉新新家园、万柳华府、万柳星标家园等居住社区。区域内社区配套完善程度好、入住率较高，综合考虑居住社区成熟度较好。</v>
      </c>
      <c r="D15" s="2370"/>
      <c r="E15" s="2403" t="s">
        <v>2105</v>
      </c>
      <c r="F15" s="1270" t="s">
        <v>2106</v>
      </c>
      <c r="G15" s="135" t="str">
        <f>G3</f>
        <v>估价对象位于XX开发区，园区建设成熟度XX，产业集聚程度XX</v>
      </c>
    </row>
    <row r="16" spans="1:29" ht="42.75">
      <c r="A16" s="645"/>
      <c r="B16" s="2404" t="s">
        <v>2088</v>
      </c>
      <c r="C16" s="2405">
        <f>C4</f>
        <v>0</v>
      </c>
      <c r="D16" s="2370"/>
      <c r="E16" s="2406"/>
      <c r="F16" s="2407" t="s">
        <v>2089</v>
      </c>
      <c r="G16" s="136" t="str">
        <f>G4</f>
        <v>估价对象周边道路状况、公共交通通达情况、停车便捷程度，综合评价交通便捷度较好</v>
      </c>
    </row>
    <row r="17" spans="1:18" ht="15">
      <c r="A17" s="645"/>
      <c r="B17" s="2404" t="s">
        <v>2091</v>
      </c>
      <c r="C17" s="2405">
        <f>C5</f>
        <v>0</v>
      </c>
      <c r="D17" s="2376"/>
      <c r="E17" s="2406"/>
      <c r="F17" s="2407" t="s">
        <v>2107</v>
      </c>
      <c r="G17" s="1572"/>
    </row>
    <row r="18" spans="1:18" ht="156.75" customHeight="1">
      <c r="A18" s="645"/>
      <c r="B18" s="2407" t="s">
        <v>2094</v>
      </c>
      <c r="C18" s="136" t="str">
        <f>C6</f>
        <v>估价对象位于海淀区万柳地区，北距北四环西路约600米，周边路网较为密集，行车出入便捷。且项目及周边道路均设有停车场位，停车便捷。周边1公里范围内有481路、664路等公交线路，且地铁10号线巴沟站位于地块东北角，公交便捷度好。综上分析，估价对象所在区位整体交通便捷度较好。</v>
      </c>
      <c r="D18" s="2376"/>
      <c r="E18" s="2406"/>
      <c r="F18" s="2407" t="s">
        <v>2097</v>
      </c>
      <c r="G18" s="136" t="str">
        <f>G7</f>
        <v>该园区内是否有污染型企业，绿化情况，卫生条件，整体环境状况判断</v>
      </c>
    </row>
    <row r="19" spans="1:18" ht="28.5">
      <c r="A19" s="645"/>
      <c r="B19" s="2407" t="s">
        <v>2108</v>
      </c>
      <c r="C19" s="2969" t="s">
        <v>3786</v>
      </c>
      <c r="D19" s="2370"/>
      <c r="E19" s="2406"/>
      <c r="F19" s="1798" t="s">
        <v>2092</v>
      </c>
      <c r="G19" s="136" t="str">
        <f>G5</f>
        <v>估价对象所在区域公共配套设施齐备情况</v>
      </c>
    </row>
    <row r="20" spans="1:18" ht="99.75">
      <c r="A20" s="645"/>
      <c r="B20" s="2407" t="s">
        <v>2109</v>
      </c>
      <c r="C20" s="2405" t="str">
        <f>C9</f>
        <v>估价对象所在区域有2公里范围内有海淀公园、巴沟山水园等自然景观；人文环境：多家幼儿园及北京市八一中学、中国人民大学等，人文环境好；综合评价环境状况较好。</v>
      </c>
      <c r="D20" s="2376"/>
      <c r="E20" s="2406"/>
      <c r="F20" s="1798" t="s">
        <v>2110</v>
      </c>
      <c r="G20" s="136" t="str">
        <f>G6</f>
        <v>估价对象所在区域基础设施水平</v>
      </c>
    </row>
    <row r="21" spans="1:18" ht="128.25">
      <c r="A21" s="645"/>
      <c r="B21" s="1798" t="s">
        <v>2092</v>
      </c>
      <c r="C21" s="136" t="str">
        <f>C7</f>
        <v>周边1.5公里内的公共服务配套设施较为齐备，有购物场所（北京华联万柳购物中心）、医院（北京市海淀区妇幼保健院）、银行（中国光大银行、浦发银行）、学校（北京市八一学校、万泉小学）、餐饮等公共服务配套设施。</v>
      </c>
      <c r="D21" s="2370"/>
      <c r="E21" s="2406"/>
      <c r="F21" s="2407" t="s">
        <v>2111</v>
      </c>
      <c r="G21" s="2408"/>
    </row>
    <row r="22" spans="1:18" ht="13.5" customHeight="1">
      <c r="A22" s="645"/>
      <c r="B22" s="1798" t="s">
        <v>2095</v>
      </c>
      <c r="C22" s="136" t="str">
        <f>C8</f>
        <v>估价对象所在区域基础设施水平达到“七通”。</v>
      </c>
      <c r="D22" s="2370"/>
      <c r="E22" s="2406"/>
      <c r="F22" s="2407" t="s">
        <v>2100</v>
      </c>
      <c r="G22" s="1572"/>
    </row>
    <row r="23" spans="1:18" s="2368"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68" customFormat="1" ht="15.75" thickBot="1">
      <c r="A24" s="2412"/>
      <c r="B24" s="2410" t="s">
        <v>2113</v>
      </c>
      <c r="C24" s="137" t="str">
        <f>C10</f>
        <v>城市支路——万柳华府北街</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44831.789999999994</v>
      </c>
      <c r="C1" s="1745"/>
      <c r="D1" s="1745"/>
      <c r="E1" s="1745"/>
      <c r="F1" s="1745"/>
      <c r="G1" s="1743"/>
    </row>
    <row r="2" spans="1:10" ht="16.5">
      <c r="A2" s="1746" t="s">
        <v>1353</v>
      </c>
      <c r="B2" s="1746">
        <f>SUM(C14:C23)</f>
        <v>12068.97</v>
      </c>
      <c r="C2" s="1745"/>
      <c r="D2" s="1745"/>
      <c r="E2" s="1745"/>
      <c r="F2" s="1745"/>
      <c r="G2" s="1743"/>
    </row>
    <row r="3" spans="1:10" ht="16.5">
      <c r="A3" s="1746" t="s">
        <v>1362</v>
      </c>
      <c r="B3" s="1747">
        <f>项目基本情况!D3</f>
        <v>43430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808909</v>
      </c>
      <c r="C5" s="1746">
        <f ca="1">ROUND(B5*10000/$B$1,0)</f>
        <v>180432</v>
      </c>
      <c r="D5" s="1746">
        <f ca="1">ROUND(B5*10000/$B$2,0)</f>
        <v>670239</v>
      </c>
      <c r="E5" s="1745"/>
      <c r="F5" s="1743"/>
      <c r="G5" s="1743"/>
    </row>
    <row r="6" spans="1:10" ht="16.5">
      <c r="A6" s="1746" t="s">
        <v>1356</v>
      </c>
      <c r="B6" s="1746">
        <f ca="1">SUM(G14:G23)</f>
        <v>808909</v>
      </c>
      <c r="C6" s="1746">
        <f ca="1">ROUND(B6*10000/$B$1,0)</f>
        <v>180432</v>
      </c>
      <c r="D6" s="1746">
        <f ca="1">ROUND(B6*10000/$B$2,0)</f>
        <v>670239</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 ca="1">SUM(I14:I23)</f>
        <v>771142</v>
      </c>
      <c r="C8" s="1746">
        <f ca="1">ROUND(B8*10000/$B$1,0)</f>
        <v>172008</v>
      </c>
      <c r="D8" s="1746">
        <f ca="1">ROUND(B8*10000/$B$2,0)</f>
        <v>638946</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44831.789999999994</v>
      </c>
      <c r="C14" s="1744">
        <f>结果表!C118</f>
        <v>12068.97</v>
      </c>
      <c r="D14" s="1744">
        <f ca="1">结果表!H118</f>
        <v>808909</v>
      </c>
      <c r="E14" s="1744">
        <f ca="1">ROUND(D14*10000/B14,0)</f>
        <v>180432</v>
      </c>
      <c r="F14" s="1744">
        <f ca="1">ROUND(D14*10000/C14,0)</f>
        <v>670239</v>
      </c>
      <c r="G14" s="1744">
        <f ca="1">结果表!D122</f>
        <v>808909</v>
      </c>
      <c r="H14" s="1744" t="str">
        <f>结果表!D124</f>
        <v>——</v>
      </c>
      <c r="I14" s="1744">
        <f ca="1">结果表!D126</f>
        <v>771142</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C88" sqref="C8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2114</v>
      </c>
      <c r="B1" s="2418"/>
      <c r="C1" s="2419" t="s">
        <v>3802</v>
      </c>
      <c r="D1" s="2418"/>
      <c r="E1" s="2418"/>
      <c r="F1" s="2420" t="s">
        <v>2115</v>
      </c>
      <c r="G1" s="2071" t="s">
        <v>3760</v>
      </c>
      <c r="H1" s="2421" t="str">
        <f>IF(G1="现房","——","估价对象范围")</f>
        <v>——</v>
      </c>
      <c r="I1" s="2422" t="s">
        <v>3790</v>
      </c>
    </row>
    <row r="2" spans="1:12" ht="21.75" customHeight="1" thickBot="1">
      <c r="A2" s="3143" t="str">
        <f>项目基本情况!S2</f>
        <v>北京市海淀区万柳华府北街9号院房地产</v>
      </c>
      <c r="B2" s="3144"/>
      <c r="C2" s="3144"/>
      <c r="D2" s="3144"/>
      <c r="E2" s="3144"/>
      <c r="F2" s="3144"/>
      <c r="G2" s="3144"/>
      <c r="H2" s="3144"/>
      <c r="I2" s="3145"/>
    </row>
    <row r="3" spans="1:12" ht="12.75">
      <c r="A3" s="3146" t="s">
        <v>2116</v>
      </c>
      <c r="B3" s="3147"/>
      <c r="C3" s="3147"/>
      <c r="D3" s="3147"/>
      <c r="E3" s="3147"/>
      <c r="F3" s="3147"/>
      <c r="G3" s="3147"/>
      <c r="H3" s="3147"/>
      <c r="I3" s="3147"/>
    </row>
    <row r="4" spans="1:12" ht="14.25">
      <c r="A4" s="2425" t="s">
        <v>2117</v>
      </c>
      <c r="B4" s="2426" t="s">
        <v>2118</v>
      </c>
      <c r="C4" s="2427" t="s">
        <v>3814</v>
      </c>
      <c r="D4" s="2427" t="s">
        <v>3770</v>
      </c>
      <c r="E4" s="3127" t="s">
        <v>2119</v>
      </c>
      <c r="F4" s="3140"/>
      <c r="G4" s="3140"/>
      <c r="H4" s="3140"/>
      <c r="I4" s="3128"/>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18" t="s">
        <v>2120</v>
      </c>
      <c r="B5" s="3044">
        <v>25</v>
      </c>
      <c r="C5" s="3148"/>
      <c r="D5" s="3136"/>
      <c r="E5" s="140" t="s">
        <v>2121</v>
      </c>
      <c r="F5" s="2429"/>
      <c r="G5" s="2429"/>
      <c r="H5" s="2429"/>
      <c r="I5" s="1834"/>
    </row>
    <row r="6" spans="1:12" ht="12.75">
      <c r="A6" s="3118"/>
      <c r="B6" s="3044"/>
      <c r="C6" s="3150"/>
      <c r="D6" s="3136"/>
      <c r="E6" s="140" t="s">
        <v>2122</v>
      </c>
      <c r="F6" s="2429"/>
      <c r="G6" s="2429"/>
      <c r="H6" s="2429"/>
      <c r="I6" s="1834"/>
    </row>
    <row r="7" spans="1:12" ht="12.75">
      <c r="A7" s="3118"/>
      <c r="B7" s="3044"/>
      <c r="C7" s="3149"/>
      <c r="D7" s="3136"/>
      <c r="E7" s="140" t="s">
        <v>2123</v>
      </c>
      <c r="F7" s="2429"/>
      <c r="G7" s="2429"/>
      <c r="H7" s="2429"/>
      <c r="I7" s="1834"/>
    </row>
    <row r="8" spans="1:12" ht="12.75">
      <c r="A8" s="3118" t="s">
        <v>2124</v>
      </c>
      <c r="B8" s="3044">
        <v>15</v>
      </c>
      <c r="C8" s="3148"/>
      <c r="D8" s="3136"/>
      <c r="E8" s="140" t="s">
        <v>2125</v>
      </c>
      <c r="F8" s="2429"/>
      <c r="G8" s="2429"/>
      <c r="H8" s="2429"/>
      <c r="I8" s="1834"/>
    </row>
    <row r="9" spans="1:12" ht="12.75">
      <c r="A9" s="3118"/>
      <c r="B9" s="3044"/>
      <c r="C9" s="3149"/>
      <c r="D9" s="3136"/>
      <c r="E9" s="140" t="s">
        <v>2126</v>
      </c>
      <c r="F9" s="2429"/>
      <c r="G9" s="2429"/>
      <c r="H9" s="2429"/>
      <c r="I9" s="1834"/>
    </row>
    <row r="10" spans="1:12" ht="12.75">
      <c r="A10" s="3118" t="s">
        <v>2127</v>
      </c>
      <c r="B10" s="3044">
        <v>15</v>
      </c>
      <c r="C10" s="3148"/>
      <c r="D10" s="3136"/>
      <c r="E10" s="140" t="s">
        <v>2128</v>
      </c>
      <c r="F10" s="2429"/>
      <c r="G10" s="2429"/>
      <c r="H10" s="2429"/>
      <c r="I10" s="1834"/>
    </row>
    <row r="11" spans="1:12" ht="12.75">
      <c r="A11" s="3118"/>
      <c r="B11" s="3044"/>
      <c r="C11" s="3149"/>
      <c r="D11" s="3136"/>
      <c r="E11" s="140" t="s">
        <v>2129</v>
      </c>
      <c r="F11" s="2429"/>
      <c r="G11" s="2429"/>
      <c r="H11" s="2429"/>
      <c r="I11" s="1834"/>
    </row>
    <row r="12" spans="1:12" ht="12.75">
      <c r="A12" s="3118" t="s">
        <v>2130</v>
      </c>
      <c r="B12" s="3044">
        <v>15</v>
      </c>
      <c r="C12" s="3148"/>
      <c r="D12" s="3136"/>
      <c r="E12" s="140" t="s">
        <v>2131</v>
      </c>
      <c r="F12" s="2429"/>
      <c r="G12" s="2429"/>
      <c r="H12" s="2429"/>
      <c r="I12" s="1834"/>
    </row>
    <row r="13" spans="1:12" ht="12.75">
      <c r="A13" s="3118"/>
      <c r="B13" s="3044"/>
      <c r="C13" s="3149"/>
      <c r="D13" s="3136"/>
      <c r="E13" s="140" t="s">
        <v>2132</v>
      </c>
      <c r="F13" s="2429"/>
      <c r="G13" s="2429"/>
      <c r="H13" s="2429"/>
      <c r="I13" s="1834"/>
    </row>
    <row r="14" spans="1:12" ht="12.75">
      <c r="A14" s="3118" t="s">
        <v>2133</v>
      </c>
      <c r="B14" s="3044">
        <v>30</v>
      </c>
      <c r="C14" s="3148">
        <v>7</v>
      </c>
      <c r="D14" s="3136">
        <v>3</v>
      </c>
      <c r="E14" s="140" t="s">
        <v>2134</v>
      </c>
      <c r="F14" s="2429"/>
      <c r="G14" s="2429"/>
      <c r="H14" s="2429"/>
      <c r="I14" s="1834"/>
    </row>
    <row r="15" spans="1:12" ht="12.75">
      <c r="A15" s="3118"/>
      <c r="B15" s="3044"/>
      <c r="C15" s="3150"/>
      <c r="D15" s="3136"/>
      <c r="E15" s="140" t="s">
        <v>2135</v>
      </c>
      <c r="F15" s="2429"/>
      <c r="G15" s="2429"/>
      <c r="H15" s="2429"/>
      <c r="I15" s="1834"/>
    </row>
    <row r="16" spans="1:12" ht="12.75">
      <c r="A16" s="3118"/>
      <c r="B16" s="3044"/>
      <c r="C16" s="3149"/>
      <c r="D16" s="3136"/>
      <c r="E16" s="140" t="s">
        <v>2136</v>
      </c>
      <c r="F16" s="2429"/>
      <c r="G16" s="2429"/>
      <c r="H16" s="2429"/>
      <c r="I16" s="1834"/>
    </row>
    <row r="17" spans="1:35" ht="15">
      <c r="A17" s="2430" t="s">
        <v>2137</v>
      </c>
      <c r="B17" s="64"/>
      <c r="C17" s="141">
        <f>SUM(C5:C16)</f>
        <v>7</v>
      </c>
      <c r="D17" s="141">
        <f>SUM(D5:D16)</f>
        <v>3</v>
      </c>
      <c r="E17" s="138"/>
      <c r="F17" s="138"/>
      <c r="G17" s="138"/>
      <c r="H17" s="138"/>
      <c r="I17" s="138"/>
      <c r="K17" s="2428"/>
      <c r="L17" s="2431" t="s">
        <v>2138</v>
      </c>
      <c r="M17" s="2431" t="s">
        <v>2139</v>
      </c>
    </row>
    <row r="18" spans="1:35" ht="15.75" thickBot="1">
      <c r="A18" s="2432" t="s">
        <v>2140</v>
      </c>
      <c r="B18" s="2433"/>
      <c r="C18" s="142">
        <f>ROUND(C17/SUM(C17:D17),2)</f>
        <v>0.7</v>
      </c>
      <c r="D18" s="142">
        <f>1-C18</f>
        <v>0.30000000000000004</v>
      </c>
      <c r="E18" s="138"/>
      <c r="F18" s="138"/>
      <c r="G18" s="138"/>
      <c r="H18" s="138"/>
      <c r="I18" s="138"/>
      <c r="K18" s="2428" t="s">
        <v>2141</v>
      </c>
      <c r="L18" s="2428">
        <f>IF(C1="",'数据-汇总表'!E3,SUMIF(项目类型,C1,'数据-汇总表'!E17:E26)+SUMIF(项目类型,C1,'数据-汇总表'!I17:I26))</f>
        <v>273.05</v>
      </c>
      <c r="M18" s="2428">
        <f>IF(C1="",'数据-汇总表'!E3,SUMIF(项目类型,C1,'数据-汇总表'!E17:E26))</f>
        <v>273.05</v>
      </c>
    </row>
    <row r="19" spans="1:35" ht="15">
      <c r="A19" s="2434" t="s">
        <v>2142</v>
      </c>
      <c r="B19" s="2435" t="s">
        <v>2143</v>
      </c>
      <c r="C19" s="143">
        <f ca="1">SUMIF(INDIRECT("'"&amp;C4&amp;"'"&amp;"!A:A"),结果表!B19,INDIRECT("'"&amp;C4&amp;"'"&amp;"!B:B"))</f>
        <v>5585</v>
      </c>
      <c r="D19" s="144">
        <f ca="1">SUMIF(INDIRECT("'"&amp;D4&amp;"'"&amp;"!A:A"),结果表!B19,INDIRECT("'"&amp;D4&amp;"'"&amp;"!B:B"))</f>
        <v>3135</v>
      </c>
      <c r="E19" s="2434" t="s">
        <v>2144</v>
      </c>
      <c r="F19" s="2435" t="s">
        <v>2143</v>
      </c>
      <c r="G19" s="145">
        <f ca="1">ROUND(C19*$C$18+D19*$D$18,0)</f>
        <v>4850</v>
      </c>
      <c r="H19" s="2436" t="s">
        <v>2145</v>
      </c>
      <c r="I19" s="138"/>
      <c r="K19" s="2428" t="s">
        <v>2146</v>
      </c>
      <c r="L19" s="2428">
        <f>IF(C1="",'数据-汇总表'!D3,SUMIF(项目类型,C1,'数据-汇总表'!D17:D26)+SUMIF(项目类型,C1,'数据-汇总表'!H17:H27))</f>
        <v>73.510000000000005</v>
      </c>
      <c r="M19" s="2428">
        <f>IF(C1="",'数据-汇总表'!D3,SUMIF(项目类型,C1,'数据-汇总表'!D17:D26))</f>
        <v>73.510000000000005</v>
      </c>
    </row>
    <row r="20" spans="1:35" ht="15">
      <c r="A20" s="2437"/>
      <c r="B20" s="1250" t="s">
        <v>2147</v>
      </c>
      <c r="C20" s="146">
        <f ca="1">SUMIF(INDIRECT("'"&amp;C4&amp;"'"&amp;"!A:A"),结果表!B20,INDIRECT("'"&amp;C4&amp;"'"&amp;"!B:B"))</f>
        <v>204533</v>
      </c>
      <c r="D20" s="147">
        <f ca="1">SUMIF(INDIRECT("'"&amp;D4&amp;"'"&amp;"!A:A"),结果表!B20,INDIRECT("'"&amp;D4&amp;"'"&amp;"!B:B"))</f>
        <v>114814</v>
      </c>
      <c r="E20" s="2437"/>
      <c r="F20" s="1250" t="s">
        <v>2147</v>
      </c>
      <c r="G20" s="148">
        <f ca="1">ROUND(C20*$C$18+D20*$D$18,0)</f>
        <v>177617</v>
      </c>
      <c r="H20" s="983" t="s">
        <v>2148</v>
      </c>
      <c r="I20" s="138"/>
    </row>
    <row r="21" spans="1:35" ht="15" customHeight="1" thickBot="1">
      <c r="A21" s="1003"/>
      <c r="B21" s="2438" t="s">
        <v>2149</v>
      </c>
      <c r="C21" s="789">
        <f ca="1">ROUND(C19*10000/L19,0)</f>
        <v>759761</v>
      </c>
      <c r="D21" s="790">
        <f ca="1">ROUND(D19*10000/L19,0)</f>
        <v>426473</v>
      </c>
      <c r="E21" s="1003"/>
      <c r="F21" s="2438" t="s">
        <v>2149</v>
      </c>
      <c r="G21" s="149">
        <f ca="1">ROUND(G19*10000/L19,0)</f>
        <v>659774</v>
      </c>
      <c r="H21" s="2439" t="s">
        <v>2148</v>
      </c>
      <c r="I21" s="138"/>
    </row>
    <row r="22" spans="1:35" ht="15" thickBot="1">
      <c r="A22" s="2281" t="s">
        <v>2150</v>
      </c>
      <c r="B22" s="2440"/>
      <c r="C22" s="2441"/>
      <c r="D22" s="791">
        <f ca="1">IF(C19&lt;D19,D19/C19-1,C19/D19-1)</f>
        <v>0.78149920255183414</v>
      </c>
      <c r="E22" s="138"/>
      <c r="F22" s="138"/>
      <c r="G22" s="138"/>
      <c r="H22" s="138"/>
      <c r="I22" s="138"/>
    </row>
    <row r="23" spans="1:35" ht="13.5" thickBot="1">
      <c r="A23" s="2418"/>
      <c r="B23" s="2418"/>
      <c r="C23" s="2418"/>
      <c r="D23" s="2418"/>
      <c r="E23" s="138"/>
      <c r="F23" s="138"/>
      <c r="G23" s="138"/>
      <c r="H23" s="138"/>
      <c r="I23" s="138"/>
    </row>
    <row r="24" spans="1:35" ht="14.25">
      <c r="A24" s="3157" t="s">
        <v>2151</v>
      </c>
      <c r="B24" s="2435" t="s">
        <v>2143</v>
      </c>
      <c r="C24" s="145">
        <f>IF(B30=0,0,D30)</f>
        <v>0</v>
      </c>
      <c r="D24" s="2442"/>
      <c r="E24" s="138"/>
      <c r="F24" s="138"/>
      <c r="G24" s="138"/>
      <c r="H24" s="138"/>
      <c r="I24" s="138"/>
    </row>
    <row r="25" spans="1:35" ht="14.25">
      <c r="A25" s="3158"/>
      <c r="B25" s="1250"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25" t="s">
        <v>3026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典型户型修正!B20</f>
        <v>808909</v>
      </c>
      <c r="D32" s="2449" t="s">
        <v>3837</v>
      </c>
      <c r="E32" s="138"/>
      <c r="F32" s="138"/>
      <c r="G32" s="138"/>
      <c r="H32" s="138"/>
      <c r="I32" s="138"/>
    </row>
    <row r="33" spans="1:15" ht="15">
      <c r="A33" s="960" t="s">
        <v>2158</v>
      </c>
      <c r="B33" s="2450"/>
      <c r="C33" s="2451" t="s">
        <v>3838</v>
      </c>
      <c r="D33" s="2452" t="s">
        <v>3770</v>
      </c>
      <c r="E33" s="2453" t="s">
        <v>2159</v>
      </c>
      <c r="F33" s="2454" t="str">
        <f>IF(D32="楼面单价","取值（单价）","取值（总价）")</f>
        <v>取值（总价）</v>
      </c>
      <c r="G33" s="138"/>
      <c r="H33" s="138"/>
      <c r="I33" s="138"/>
    </row>
    <row r="34" spans="1:15" ht="15">
      <c r="A34" s="2455"/>
      <c r="B34" s="2456" t="s">
        <v>2160</v>
      </c>
      <c r="C34" s="157">
        <f ca="1">IF(C33="自定义",F34,C32-C35)</f>
        <v>711709</v>
      </c>
      <c r="D34" s="1058">
        <f ca="1">IF(C33="自定义",ROUND(C34/C32,3),IF(C33="收益比率",SUMIF(INDIRECT("'"&amp;D33&amp;"'"&amp;"!b:b"),"土地收益比率",INDIRECT("'"&amp;D33&amp;"'"&amp;"!c:c")),SUMIF(INDIRECT("'"&amp;D33&amp;"'"&amp;"!b:b"),"土地成本比率",INDIRECT("'"&amp;D33&amp;"'"&amp;"!c:c"))))</f>
        <v>0.88</v>
      </c>
      <c r="E34" s="2457" t="s">
        <v>2161</v>
      </c>
      <c r="F34" s="1739">
        <f ca="1">C32-F35</f>
        <v>711709</v>
      </c>
      <c r="G34" s="138"/>
      <c r="H34" s="138"/>
      <c r="I34" s="138"/>
    </row>
    <row r="35" spans="1:15" ht="15.75" thickBot="1">
      <c r="A35" s="2458"/>
      <c r="B35" s="2459" t="s">
        <v>2162</v>
      </c>
      <c r="C35" s="1444">
        <f ca="1">IF(C33="自定义",F35,ROUND(C32*D35,0))</f>
        <v>97200</v>
      </c>
      <c r="D35" s="1445">
        <f ca="1">IF(C33="自定义",ROUND(C35/C32,3),IF(C33="收益比率",SUMIF(INDIRECT("'"&amp;D33&amp;"'"&amp;"!b:b"),"建筑物收益比率",INDIRECT("'"&amp;D33&amp;"'"&amp;"!c:c")),SUMIF(INDIRECT("'"&amp;D33&amp;"'"&amp;"!b:b"),"建筑物成本比率",INDIRECT("'"&amp;D33&amp;"'"&amp;"!c:c"))))</f>
        <v>0.12</v>
      </c>
      <c r="E35" s="2460" t="s">
        <v>2163</v>
      </c>
      <c r="F35" s="163">
        <f ca="1">ROUND(收益法!C13/收益法!F7*典型户型修正!B22,0)</f>
        <v>97200</v>
      </c>
      <c r="G35" s="138"/>
      <c r="H35" s="138"/>
      <c r="I35" s="138"/>
    </row>
    <row r="36" spans="1:15" ht="15.75" thickBot="1">
      <c r="A36" s="3137" t="s">
        <v>2164</v>
      </c>
      <c r="B36" s="2461" t="s">
        <v>2165</v>
      </c>
      <c r="C36" s="154"/>
      <c r="D36" s="2462"/>
      <c r="E36" s="2463"/>
      <c r="F36" s="2464"/>
      <c r="G36" s="138"/>
      <c r="H36" s="138"/>
      <c r="I36" s="138"/>
    </row>
    <row r="37" spans="1:15" ht="15.75" thickBot="1">
      <c r="A37" s="3138"/>
      <c r="B37" s="2267" t="s">
        <v>2166</v>
      </c>
      <c r="C37" s="156"/>
      <c r="D37" s="1395"/>
      <c r="E37" s="1395"/>
      <c r="F37" s="2464"/>
      <c r="G37" s="138"/>
      <c r="H37" s="138"/>
      <c r="I37" s="138"/>
    </row>
    <row r="38" spans="1:15" ht="15.75" thickBot="1">
      <c r="A38" s="3139"/>
      <c r="B38" s="2465" t="s">
        <v>2167</v>
      </c>
      <c r="C38" s="727"/>
      <c r="D38" s="2466" t="s">
        <v>2168</v>
      </c>
      <c r="E38" s="1395"/>
      <c r="F38" s="2464"/>
      <c r="G38" s="138"/>
      <c r="H38" s="138"/>
      <c r="I38" s="138"/>
    </row>
    <row r="39" spans="1:15" ht="15">
      <c r="A39" s="2437" t="s">
        <v>2169</v>
      </c>
      <c r="B39" s="2467" t="s">
        <v>2170</v>
      </c>
      <c r="C39" s="2468" t="s">
        <v>2171</v>
      </c>
      <c r="D39" s="2468" t="s">
        <v>2172</v>
      </c>
      <c r="E39" s="2469" t="s">
        <v>2173</v>
      </c>
      <c r="F39" s="2464"/>
      <c r="G39" s="138"/>
      <c r="H39" s="138"/>
      <c r="I39" s="138"/>
    </row>
    <row r="40" spans="1:15" ht="14.25">
      <c r="A40" s="2470" t="s">
        <v>2174</v>
      </c>
      <c r="B40" s="158"/>
      <c r="C40" s="159"/>
      <c r="D40" s="159"/>
      <c r="E40" s="160"/>
      <c r="F40" s="2464"/>
      <c r="G40" s="138"/>
      <c r="H40" s="138"/>
      <c r="I40" s="138"/>
    </row>
    <row r="41" spans="1:15" ht="14.25">
      <c r="A41" s="2470" t="s">
        <v>2175</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2176</v>
      </c>
      <c r="B44" s="2475"/>
      <c r="C44" s="2475"/>
      <c r="D44" s="2476"/>
      <c r="E44" s="2476"/>
      <c r="F44" s="2477"/>
      <c r="G44" s="2477"/>
      <c r="H44" s="2477"/>
      <c r="I44" s="2477"/>
      <c r="J44" s="2478" t="s">
        <v>2177</v>
      </c>
      <c r="K44" s="2479"/>
      <c r="L44" s="2479"/>
      <c r="M44" s="2479"/>
      <c r="N44" s="2479"/>
      <c r="O44" s="2479"/>
    </row>
    <row r="45" spans="1:15" ht="14.25" customHeight="1" thickBot="1">
      <c r="A45" s="3154" t="s">
        <v>2178</v>
      </c>
      <c r="B45" s="3155"/>
      <c r="C45" s="3156"/>
      <c r="D45" s="164">
        <f ca="1">ROUND(典型户型修正!B20*F45,0)</f>
        <v>485345</v>
      </c>
      <c r="E45" s="165" t="s">
        <v>2179</v>
      </c>
      <c r="F45" s="166">
        <v>0.6</v>
      </c>
      <c r="G45" s="167" t="s">
        <v>2180</v>
      </c>
      <c r="H45" s="138"/>
      <c r="I45" s="138"/>
      <c r="J45" s="3073" t="s">
        <v>2181</v>
      </c>
      <c r="K45" s="3073"/>
      <c r="L45" s="3073"/>
      <c r="M45" s="3073"/>
      <c r="N45" s="3073"/>
      <c r="O45" s="3073"/>
    </row>
    <row r="46" spans="1:15" ht="14.25" customHeight="1">
      <c r="A46" s="3151" t="s">
        <v>2182</v>
      </c>
      <c r="B46" s="3152"/>
      <c r="C46" s="3152"/>
      <c r="D46" s="3152"/>
      <c r="E46" s="3152"/>
      <c r="F46" s="3152"/>
      <c r="G46" s="3153"/>
      <c r="H46" s="2480"/>
      <c r="I46" s="168"/>
      <c r="J46" s="1812">
        <v>1</v>
      </c>
      <c r="K46" s="3073" t="s">
        <v>2183</v>
      </c>
      <c r="L46" s="3073"/>
      <c r="M46" s="3074"/>
      <c r="N46" s="3074"/>
      <c r="O46" s="3074"/>
    </row>
    <row r="47" spans="1:15" ht="12" customHeight="1">
      <c r="A47" s="169" t="s">
        <v>2184</v>
      </c>
      <c r="B47" s="170"/>
      <c r="C47" s="171"/>
      <c r="D47" s="172" t="s">
        <v>2185</v>
      </c>
      <c r="E47" s="24" t="s">
        <v>2186</v>
      </c>
      <c r="F47" s="173" t="s">
        <v>2187</v>
      </c>
      <c r="G47" s="174" t="s">
        <v>2188</v>
      </c>
      <c r="H47" s="2480"/>
      <c r="I47" s="168"/>
      <c r="J47" s="1812">
        <v>2</v>
      </c>
      <c r="K47" s="3073" t="s">
        <v>2189</v>
      </c>
      <c r="L47" s="3073"/>
      <c r="M47" s="3075">
        <f>'数据-取费表'!B2</f>
        <v>43430</v>
      </c>
      <c r="N47" s="3075"/>
      <c r="O47" s="3075"/>
    </row>
    <row r="48" spans="1:15" ht="25.5">
      <c r="A48" s="3141" t="s">
        <v>2190</v>
      </c>
      <c r="B48" s="3142"/>
      <c r="C48" s="3142"/>
      <c r="D48" s="140">
        <f ca="1">IF(H48="情况1",0,IF(H48="情况2",D52,IF(H48="情况3",D53,IF(H48="情况4",D54))))</f>
        <v>25885</v>
      </c>
      <c r="E48" s="1801" t="str">
        <f>IF(H48="情况4","(销售额-原购置价)×税（费）率","销售额×税（费）率")</f>
        <v>销售额×税（费）率</v>
      </c>
      <c r="F48" s="175">
        <f>IF(H48="情况1","免征",'数据-取费表'!B41)</f>
        <v>5.6000000000000001E-2</v>
      </c>
      <c r="G48" s="2481" t="s">
        <v>2191</v>
      </c>
      <c r="H48" s="2482" t="s">
        <v>3816</v>
      </c>
      <c r="I48" s="2480"/>
      <c r="J48" s="1812">
        <v>3</v>
      </c>
      <c r="K48" s="3073" t="s">
        <v>2192</v>
      </c>
      <c r="L48" s="3073"/>
      <c r="M48" s="3076">
        <f ca="1">典型户型修正!B20</f>
        <v>808909</v>
      </c>
      <c r="N48" s="3076"/>
      <c r="O48" s="3076"/>
    </row>
    <row r="49" spans="1:35" ht="25.5" customHeight="1">
      <c r="A49" s="176" t="s">
        <v>2193</v>
      </c>
      <c r="B49" s="3121" t="s">
        <v>2194</v>
      </c>
      <c r="C49" s="3121"/>
      <c r="D49" s="177">
        <v>0</v>
      </c>
      <c r="E49" s="23" t="s">
        <v>2195</v>
      </c>
      <c r="F49" s="28" t="s">
        <v>34</v>
      </c>
      <c r="G49" s="3102"/>
      <c r="H49" s="138"/>
      <c r="I49" s="2483"/>
      <c r="J49" s="1812">
        <v>4</v>
      </c>
      <c r="K49" s="3073" t="str">
        <f>IF(项目基本情况!E8="房地产抵押价值","房地产抵押价值","抵押担保权已注销时的房地产抵押价值")</f>
        <v>房地产抵押价值</v>
      </c>
      <c r="L49" s="3073"/>
      <c r="M49" s="3076">
        <f ca="1">M48-C36-C37-C38</f>
        <v>808909</v>
      </c>
      <c r="N49" s="3076"/>
      <c r="O49" s="3076"/>
    </row>
    <row r="50" spans="1:35" ht="25.5" customHeight="1">
      <c r="A50" s="178"/>
      <c r="B50" s="3121" t="s">
        <v>2196</v>
      </c>
      <c r="C50" s="3121"/>
      <c r="D50" s="179"/>
      <c r="E50" s="31"/>
      <c r="F50" s="180"/>
      <c r="G50" s="3103"/>
      <c r="H50" s="138"/>
      <c r="I50" s="2483"/>
      <c r="J50" s="3073" t="s">
        <v>2197</v>
      </c>
      <c r="K50" s="3073"/>
      <c r="L50" s="3073"/>
      <c r="M50" s="3073"/>
      <c r="N50" s="3073"/>
      <c r="O50" s="3073"/>
    </row>
    <row r="51" spans="1:35" ht="12" customHeight="1">
      <c r="A51" s="181"/>
      <c r="B51" s="3121" t="s">
        <v>2198</v>
      </c>
      <c r="C51" s="3121"/>
      <c r="D51" s="182"/>
      <c r="E51" s="30"/>
      <c r="F51" s="180"/>
      <c r="G51" s="3104"/>
      <c r="H51" s="138"/>
      <c r="I51" s="2483"/>
      <c r="J51" s="2484" t="s">
        <v>2199</v>
      </c>
      <c r="K51" s="3073" t="s">
        <v>2200</v>
      </c>
      <c r="L51" s="3073"/>
      <c r="M51" s="2484" t="s">
        <v>2201</v>
      </c>
      <c r="N51" s="2484" t="s">
        <v>2202</v>
      </c>
      <c r="O51" s="2484" t="s">
        <v>2203</v>
      </c>
    </row>
    <row r="52" spans="1:35" ht="24" customHeight="1">
      <c r="A52" s="183" t="s">
        <v>2204</v>
      </c>
      <c r="B52" s="3121" t="s">
        <v>2205</v>
      </c>
      <c r="C52" s="3121"/>
      <c r="D52" s="182">
        <f ca="1">ROUND(D45*'数据-取费表'!B41/(1+'数据-取费表'!C42),0)</f>
        <v>25885</v>
      </c>
      <c r="E52" s="11" t="s">
        <v>2206</v>
      </c>
      <c r="F52" s="184">
        <f>'数据-取费表'!B41</f>
        <v>5.6000000000000001E-2</v>
      </c>
      <c r="G52" s="2485"/>
      <c r="H52" s="138"/>
      <c r="I52" s="2483"/>
      <c r="J52" s="1812">
        <v>1</v>
      </c>
      <c r="K52" s="3096" t="s">
        <v>2207</v>
      </c>
      <c r="L52" s="3096"/>
      <c r="M52" s="1754">
        <f ca="1">D48</f>
        <v>25885</v>
      </c>
      <c r="N52" s="1812" t="str">
        <f>E48</f>
        <v>销售额×税（费）率</v>
      </c>
      <c r="O52" s="1755">
        <f>F48</f>
        <v>5.6000000000000001E-2</v>
      </c>
    </row>
    <row r="53" spans="1:35" ht="12" customHeight="1">
      <c r="A53" s="183" t="s">
        <v>2208</v>
      </c>
      <c r="B53" s="3122" t="s">
        <v>2209</v>
      </c>
      <c r="C53" s="3123"/>
      <c r="D53" s="182">
        <f ca="1">ROUND(D45*'数据-取费表'!B41/(1+'数据-取费表'!C42),0)</f>
        <v>25885</v>
      </c>
      <c r="E53" s="11" t="s">
        <v>2206</v>
      </c>
      <c r="F53" s="184">
        <f>'数据-取费表'!B41</f>
        <v>5.6000000000000001E-2</v>
      </c>
      <c r="G53" s="2485"/>
      <c r="H53" s="138"/>
      <c r="I53" s="2483"/>
      <c r="J53" s="1812">
        <v>2</v>
      </c>
      <c r="K53" s="3096" t="s">
        <v>2210</v>
      </c>
      <c r="L53" s="3096"/>
      <c r="M53" s="1754">
        <f t="shared" ref="M53:O54" ca="1" si="0">D55</f>
        <v>243</v>
      </c>
      <c r="N53" s="1812" t="str">
        <f t="shared" si="0"/>
        <v>销售额×税（费）率</v>
      </c>
      <c r="O53" s="1755">
        <f t="shared" si="0"/>
        <v>5.0000000000000001E-4</v>
      </c>
    </row>
    <row r="54" spans="1:35" ht="12" customHeight="1">
      <c r="A54" s="183" t="s">
        <v>2211</v>
      </c>
      <c r="B54" s="3122" t="s">
        <v>2212</v>
      </c>
      <c r="C54" s="3123"/>
      <c r="D54" s="182">
        <f ca="1">C68</f>
        <v>25885</v>
      </c>
      <c r="E54" s="30" t="s">
        <v>2213</v>
      </c>
      <c r="F54" s="184">
        <f>'数据-取费表'!B41</f>
        <v>5.6000000000000001E-2</v>
      </c>
      <c r="G54" s="2485"/>
      <c r="H54" s="2486"/>
      <c r="I54" s="2483"/>
      <c r="J54" s="1812">
        <v>3</v>
      </c>
      <c r="K54" s="3096" t="s">
        <v>2214</v>
      </c>
      <c r="L54" s="3096"/>
      <c r="M54" s="1754">
        <f t="shared" ca="1" si="0"/>
        <v>11639</v>
      </c>
      <c r="N54" s="1812" t="str">
        <f t="shared" si="0"/>
        <v>增值额×税（费）率</v>
      </c>
      <c r="O54" s="1756" t="str">
        <f t="shared" si="0"/>
        <v>——</v>
      </c>
    </row>
    <row r="55" spans="1:35" ht="24" customHeight="1">
      <c r="A55" s="3160" t="s">
        <v>2215</v>
      </c>
      <c r="B55" s="3142"/>
      <c r="C55" s="3142"/>
      <c r="D55" s="185">
        <f ca="1">IF(H55="个人住宅",0,ROUND(D45*I55,0))</f>
        <v>243</v>
      </c>
      <c r="E55" s="11" t="s">
        <v>2216</v>
      </c>
      <c r="F55" s="184">
        <f>IF(H55="正常",I55,"免征")</f>
        <v>5.0000000000000001E-4</v>
      </c>
      <c r="G55" s="2485"/>
      <c r="H55" s="2482" t="s">
        <v>2217</v>
      </c>
      <c r="I55" s="186">
        <f>'数据-取费表'!B49</f>
        <v>5.0000000000000001E-4</v>
      </c>
      <c r="J55" s="1812" t="str">
        <f>IF(H59="非个人房产","",4)</f>
        <v/>
      </c>
      <c r="K55" s="3096" t="str">
        <f>IF(H59="非个人房产","——","个人所得税")</f>
        <v>——</v>
      </c>
      <c r="L55" s="3096"/>
      <c r="M55" s="1757" t="str">
        <f>D59</f>
        <v>——</v>
      </c>
      <c r="N55" s="1810" t="str">
        <f>E59</f>
        <v>——</v>
      </c>
      <c r="O55" s="1758" t="str">
        <f>F59</f>
        <v>——</v>
      </c>
    </row>
    <row r="56" spans="1:35" ht="24.75">
      <c r="A56" s="3160" t="s">
        <v>2218</v>
      </c>
      <c r="B56" s="3142"/>
      <c r="C56" s="3142"/>
      <c r="D56" s="185">
        <f ca="1">IF(H56="个人住宅",D57,D58)</f>
        <v>11639</v>
      </c>
      <c r="E56" s="11" t="s">
        <v>2219</v>
      </c>
      <c r="F56" s="184" t="str">
        <f>IF(H56="正常",F58,"免征")</f>
        <v>——</v>
      </c>
      <c r="G56" s="2487" t="s">
        <v>2220</v>
      </c>
      <c r="H56" s="2488" t="s">
        <v>2217</v>
      </c>
      <c r="I56" s="2489"/>
      <c r="J56" s="1812" t="str">
        <f>IF(项目基本情况!K6="上海银行",IF(J55="",4,J55+1),"")</f>
        <v/>
      </c>
      <c r="K56" s="3079" t="str">
        <f>IF(项目基本情况!K6="上海银行","其他处置费用","")</f>
        <v/>
      </c>
      <c r="L56" s="3080"/>
      <c r="M56" s="1754" t="str">
        <f>IF(项目基本情况!K6="上海银行",M69,"")</f>
        <v/>
      </c>
      <c r="N56" s="3082" t="str">
        <f>IF(项目基本情况!K6="上海银行","包含处置中涉及的律师、诉讼、拍卖、评估等费用","")</f>
        <v/>
      </c>
      <c r="O56" s="3083"/>
    </row>
    <row r="57" spans="1:35" ht="12.75">
      <c r="A57" s="183" t="s">
        <v>2193</v>
      </c>
      <c r="B57" s="3127" t="s">
        <v>2221</v>
      </c>
      <c r="C57" s="3128"/>
      <c r="D57" s="187">
        <v>0</v>
      </c>
      <c r="E57" s="23" t="s">
        <v>2195</v>
      </c>
      <c r="F57" s="155"/>
      <c r="G57" s="2485"/>
      <c r="H57" s="2489"/>
      <c r="I57" s="2489"/>
      <c r="J57" s="3096">
        <f>IF(AND(J55="",J56=""),4,IF(项目基本情况!K6="上海银行",结果表!J56+1,结果表!J55+1))</f>
        <v>4</v>
      </c>
      <c r="K57" s="3096" t="s">
        <v>2222</v>
      </c>
      <c r="L57" s="2490" t="s">
        <v>2223</v>
      </c>
      <c r="M57" s="1759"/>
      <c r="N57" s="1760">
        <f ca="1">SUMIF(M52:M56,"&lt;9e307")</f>
        <v>37767</v>
      </c>
      <c r="O57" s="2491"/>
      <c r="P57" s="1753">
        <f ca="1">N57/M49</f>
        <v>4.6688811720477827E-2</v>
      </c>
    </row>
    <row r="58" spans="1:35" ht="24.75">
      <c r="A58" s="183" t="s">
        <v>2204</v>
      </c>
      <c r="B58" s="3127" t="s">
        <v>2224</v>
      </c>
      <c r="C58" s="3140"/>
      <c r="D58" s="185">
        <f ca="1">IF(H58="转让取得",C81,C97)</f>
        <v>11639</v>
      </c>
      <c r="E58" s="11" t="s">
        <v>2219</v>
      </c>
      <c r="F58" s="24" t="s">
        <v>34</v>
      </c>
      <c r="G58" s="2485"/>
      <c r="H58" s="2488" t="s">
        <v>2225</v>
      </c>
      <c r="I58" s="2489"/>
      <c r="J58" s="3096"/>
      <c r="K58" s="3096"/>
      <c r="L58" s="2490" t="s">
        <v>2226</v>
      </c>
      <c r="M58" s="1761"/>
      <c r="N58" s="2492" t="str">
        <f ca="1">NUMBERSTRING(INT(N57*10000),2)&amp;"元整"</f>
        <v>叁亿柒仟柒佰陆拾柒万元整</v>
      </c>
      <c r="O58" s="2493"/>
    </row>
    <row r="59" spans="1:35" ht="24.75" thickBot="1">
      <c r="A59" s="3100" t="s">
        <v>2227</v>
      </c>
      <c r="B59" s="3101"/>
      <c r="C59" s="3101"/>
      <c r="D59" s="188" t="str">
        <f>IF(H59="非个人房产","——",IF(H59="个人住宅",0,ROUND(D45*I59,0)))</f>
        <v>——</v>
      </c>
      <c r="E59" s="189" t="str">
        <f>IF(H59="非个人房产","——","销售额×税（费）率")</f>
        <v>——</v>
      </c>
      <c r="F59" s="190" t="str">
        <f>IF(H59="非个人房产","——",IF(H59="个人住宅","免征",I59))</f>
        <v>——</v>
      </c>
      <c r="G59" s="2494" t="s">
        <v>2220</v>
      </c>
      <c r="H59" s="2488" t="s">
        <v>2228</v>
      </c>
      <c r="I59" s="191">
        <v>0.01</v>
      </c>
      <c r="J59" s="3098">
        <f>J57+1</f>
        <v>5</v>
      </c>
      <c r="K59" s="3096" t="s">
        <v>2229</v>
      </c>
      <c r="L59" s="1812" t="s">
        <v>2223</v>
      </c>
      <c r="M59" s="1762"/>
      <c r="N59" s="1763">
        <f ca="1">M49-N57</f>
        <v>771142</v>
      </c>
      <c r="O59" s="2495"/>
    </row>
    <row r="60" spans="1:35" ht="12" customHeight="1">
      <c r="A60" s="2496"/>
      <c r="B60" s="2418"/>
      <c r="C60" s="2418"/>
      <c r="D60" s="2418"/>
      <c r="E60" s="2166"/>
      <c r="F60" s="2489"/>
      <c r="G60" s="2489"/>
      <c r="H60" s="2497"/>
      <c r="I60" s="138"/>
      <c r="J60" s="3099"/>
      <c r="K60" s="3096"/>
      <c r="L60" s="2490" t="s">
        <v>2226</v>
      </c>
      <c r="M60" s="1761"/>
      <c r="N60" s="2492" t="str">
        <f ca="1">NUMBERSTRING(INT(N59*10000),2)&amp;"元整"</f>
        <v>柒拾柒亿壹仟壹佰肆拾贰万元整</v>
      </c>
      <c r="O60" s="2493"/>
    </row>
    <row r="61" spans="1:35" ht="13.5" thickBot="1">
      <c r="A61" s="3159" t="s">
        <v>2230</v>
      </c>
      <c r="B61" s="3159"/>
      <c r="C61" s="3159"/>
      <c r="D61" s="3159"/>
      <c r="E61" s="3159"/>
      <c r="F61" s="2489"/>
      <c r="G61" s="2489"/>
      <c r="H61" s="2497"/>
      <c r="I61" s="138"/>
      <c r="J61" s="1812">
        <f>J59+1</f>
        <v>6</v>
      </c>
      <c r="K61" s="3096" t="s">
        <v>2231</v>
      </c>
      <c r="L61" s="3096"/>
      <c r="M61" s="1764"/>
      <c r="N61" s="1765">
        <f ca="1">ROUND(N59*10000/'数据-汇总表'!E3,0)</f>
        <v>172008</v>
      </c>
      <c r="O61" s="2498"/>
    </row>
    <row r="62" spans="1:35" ht="12.75">
      <c r="A62" s="3116" t="s">
        <v>2232</v>
      </c>
      <c r="B62" s="3117"/>
      <c r="C62" s="1804"/>
      <c r="D62" s="1804" t="s">
        <v>2233</v>
      </c>
      <c r="E62" s="192" t="s">
        <v>2234</v>
      </c>
      <c r="F62" s="2489"/>
      <c r="G62" s="2489"/>
      <c r="H62" s="2497"/>
      <c r="I62" s="138"/>
    </row>
    <row r="63" spans="1:35" ht="12.75">
      <c r="A63" s="203" t="s">
        <v>775</v>
      </c>
      <c r="B63" s="193" t="s">
        <v>2235</v>
      </c>
      <c r="C63" s="194">
        <f ca="1">ROUND((C64+C65)/(1+'数据-取费表'!C42),0)</f>
        <v>462233</v>
      </c>
      <c r="D63" s="195"/>
      <c r="E63" s="196"/>
      <c r="F63" s="2489"/>
      <c r="G63" s="2489"/>
      <c r="H63" s="2497"/>
      <c r="I63" s="138"/>
      <c r="J63" s="3081" t="s">
        <v>2236</v>
      </c>
      <c r="K63" s="2499" t="s">
        <v>2237</v>
      </c>
      <c r="L63" s="1752">
        <f ca="1">IF(M49&gt;10000,M49*0.5%,IF(AND(M49&gt;1000,M49&lt;=10000),M49*1%,IF(AND(M49&gt;100,M49&lt;=1000),M49*3%,IF(AND(M49&gt;10,M49&lt;=100),M49*5%,M49*8%))))</f>
        <v>4044.5450000000001</v>
      </c>
      <c r="M63" s="24">
        <f ca="1">ROUND(L63,1)</f>
        <v>4044.5</v>
      </c>
      <c r="Z63" s="2423"/>
      <c r="AI63" s="2424"/>
    </row>
    <row r="64" spans="1:35" ht="14.25" customHeight="1">
      <c r="A64" s="197" t="s">
        <v>770</v>
      </c>
      <c r="B64" s="198" t="s">
        <v>2238</v>
      </c>
      <c r="C64" s="199">
        <f ca="1">D45</f>
        <v>485345</v>
      </c>
      <c r="D64" s="200" t="s">
        <v>32</v>
      </c>
      <c r="E64" s="201"/>
      <c r="F64" s="2489"/>
      <c r="G64" s="2489"/>
      <c r="H64" s="2497"/>
      <c r="I64" s="138"/>
      <c r="J64" s="3081"/>
      <c r="K64" s="2499" t="s">
        <v>2239</v>
      </c>
      <c r="L64" s="1752">
        <f ca="1">IF(M49&gt;2000,M49*0.5%,IF(AND(M49&gt;1000,M49&lt;=2000),M49*0.6%,IF(AND(M49&gt;500,M49&lt;=1000),M49*0.7%,IF(AND(M49&gt;200,M49&lt;=500),M49*0.8%,IF(AND(M49&gt;100,M49&lt;=200),M49*0.9%,IF(AND(M49&gt;50,M49&lt;=100),M49*1%,IF(AND(M49&gt;20,M49&lt;=50),M49*1.5%,IF(AND(M49&gt;10,M49&lt;=20),M49*2%,IF(AND(M49&gt;1,M49&lt;=10),M49*2.5%)))))))))</f>
        <v>4044.5450000000001</v>
      </c>
      <c r="M64" s="24">
        <f t="shared" ref="M64:M65" ca="1" si="1">ROUND(L64,1)</f>
        <v>4044.5</v>
      </c>
      <c r="N64" s="138" t="s">
        <v>2240</v>
      </c>
      <c r="Z64" s="2423"/>
      <c r="AI64" s="2424"/>
    </row>
    <row r="65" spans="1:35" ht="14.25" customHeight="1">
      <c r="A65" s="197" t="s">
        <v>771</v>
      </c>
      <c r="B65" s="198" t="s">
        <v>2241</v>
      </c>
      <c r="C65" s="202"/>
      <c r="D65" s="200"/>
      <c r="E65" s="201"/>
      <c r="F65" s="2489"/>
      <c r="G65" s="2489"/>
      <c r="H65" s="2497"/>
      <c r="I65" s="138"/>
      <c r="J65" s="3081"/>
      <c r="K65" s="2499" t="s">
        <v>2242</v>
      </c>
      <c r="L65" s="1752">
        <f ca="1">IF(M49&gt;1000,M49*0.1%,IF(AND(M49&gt;500,M49&lt;=1000),M49*0.5%,IF(AND(M49&gt;50,M49&lt;=500),M49*1%,IF(AND(M49&gt;1,M49&lt;=50),M49*1.5%))))</f>
        <v>808.90899999999999</v>
      </c>
      <c r="M65" s="24">
        <f t="shared" ca="1" si="1"/>
        <v>808.9</v>
      </c>
      <c r="N65" s="138" t="s">
        <v>2240</v>
      </c>
      <c r="Z65" s="2423"/>
      <c r="AI65" s="2424"/>
    </row>
    <row r="66" spans="1:35" ht="14.25" customHeight="1">
      <c r="A66" s="203" t="s">
        <v>772</v>
      </c>
      <c r="B66" s="204" t="s">
        <v>2243</v>
      </c>
      <c r="C66" s="205"/>
      <c r="D66" s="206" t="s">
        <v>32</v>
      </c>
      <c r="E66" s="1776" t="s">
        <v>1371</v>
      </c>
      <c r="F66" s="2489"/>
      <c r="G66" s="2489"/>
      <c r="H66" s="2497"/>
      <c r="I66" s="138"/>
      <c r="J66" s="3081"/>
      <c r="K66" s="2499" t="s">
        <v>2244</v>
      </c>
      <c r="L66" s="1752">
        <f ca="1">M49*0.5%</f>
        <v>4044.5450000000001</v>
      </c>
      <c r="M66" s="24">
        <f ca="1">IF(L66&gt;0.5,0.5,ROUND(L66,0))</f>
        <v>0.5</v>
      </c>
      <c r="N66" s="138" t="s">
        <v>2245</v>
      </c>
      <c r="Z66" s="2423"/>
      <c r="AI66" s="2424"/>
    </row>
    <row r="67" spans="1:35" ht="14.25" customHeight="1">
      <c r="A67" s="203" t="s">
        <v>773</v>
      </c>
      <c r="B67" s="204" t="s">
        <v>2246</v>
      </c>
      <c r="C67" s="207">
        <f ca="1">C63-C66</f>
        <v>462233</v>
      </c>
      <c r="D67" s="200" t="s">
        <v>32</v>
      </c>
      <c r="E67" s="201"/>
      <c r="F67" s="2489"/>
      <c r="G67" s="2489"/>
      <c r="H67" s="2497"/>
      <c r="I67" s="138"/>
      <c r="J67" s="3081"/>
      <c r="K67" s="2499" t="s">
        <v>2247</v>
      </c>
      <c r="L67" s="1752">
        <f ca="1">IF(M49&gt;=10000,(8.25+(M49-10000)*0.01%),IF(AND(M49&gt;=8000,M49&lt;10000),(7.85+(M49-8000)*0.02%),IF(AND(M49&gt;=5000,M49&lt;8000),(6.65+(M49-5000)*0.04%),IF(AND(M49&gt;=2000,M49&lt;5000),(4.25+(PM49-2000)*0.08%),IF(AND(M49&gt;=1000,M49&lt;2000),(2.75+(M49-1000)*0.15%),IF(AND(M49&gt;=100,M49&lt;1000),(0.5+(M49-100)*0.25%),IF(AND(M49&gt;0,M49&lt;100),M49*0.5%)))))))</f>
        <v>88.140900000000002</v>
      </c>
      <c r="M67" s="24">
        <f ca="1">ROUND(L67*0.9,1)</f>
        <v>79.3</v>
      </c>
      <c r="Z67" s="2423"/>
      <c r="AI67" s="2424"/>
    </row>
    <row r="68" spans="1:35" ht="14.25" customHeight="1" thickBot="1">
      <c r="A68" s="208" t="s">
        <v>774</v>
      </c>
      <c r="B68" s="209" t="s">
        <v>2248</v>
      </c>
      <c r="C68" s="210">
        <f ca="1">IF(C67&lt;=0,0,ROUND(C67*D68,0))</f>
        <v>25885</v>
      </c>
      <c r="D68" s="211">
        <f>'数据-取费表'!B41</f>
        <v>5.6000000000000001E-2</v>
      </c>
      <c r="E68" s="212"/>
      <c r="F68" s="2489"/>
      <c r="G68" s="2489"/>
      <c r="H68" s="2497"/>
      <c r="I68" s="138"/>
      <c r="J68" s="3081"/>
      <c r="K68" s="2499" t="s">
        <v>2249</v>
      </c>
      <c r="L68" s="1752">
        <f ca="1">IF(M49&gt;10000,M49*0.5%,IF(AND(M49&gt;5000,M49&lt;=10000),M49*1%,IF(AND(M49&gt;1000,M49&lt;=5000),M49*2%,IF(AND(M49&gt;200,M49&lt;=1000),M49*3%,M49*5%))))</f>
        <v>4044.5450000000001</v>
      </c>
      <c r="M68" s="24">
        <f ca="1">ROUND(L68,1)</f>
        <v>4044.5</v>
      </c>
      <c r="Z68" s="2423"/>
      <c r="AI68" s="2424"/>
    </row>
    <row r="69" spans="1:35" s="2446" customFormat="1" ht="16.5" customHeight="1">
      <c r="A69" s="2500"/>
      <c r="B69" s="2501"/>
      <c r="C69" s="2502"/>
      <c r="D69" s="2503"/>
      <c r="E69" s="2504"/>
      <c r="F69" s="2166"/>
      <c r="G69" s="2166"/>
      <c r="H69" s="2165"/>
      <c r="I69" s="2418"/>
      <c r="J69" s="3081"/>
      <c r="K69" s="2499" t="s">
        <v>2250</v>
      </c>
      <c r="L69" s="2505"/>
      <c r="M69" s="24">
        <f ca="1">ROUND(SUM(M63:M68),0)</f>
        <v>13022</v>
      </c>
      <c r="N69" s="1753">
        <f ca="1">M69/M49</f>
        <v>1.609822612926794E-2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5" t="s">
        <v>2251</v>
      </c>
      <c r="B70" s="3126"/>
      <c r="C70" s="3126"/>
      <c r="D70" s="3126"/>
      <c r="E70" s="3126"/>
      <c r="F70" s="3126"/>
      <c r="G70" s="3126"/>
      <c r="H70" s="312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6" t="s">
        <v>2232</v>
      </c>
      <c r="B71" s="3117"/>
      <c r="C71" s="1804"/>
      <c r="D71" s="1804" t="s">
        <v>2233</v>
      </c>
      <c r="E71" s="213" t="s">
        <v>2234</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2252</v>
      </c>
      <c r="C72" s="207">
        <f ca="1">ROUND(D45/(1+'数据-取费表'!C42),0)</f>
        <v>462233</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2253</v>
      </c>
      <c r="C73" s="207">
        <f ca="1">C74+C78</f>
        <v>2773</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2254</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2255</v>
      </c>
      <c r="C75" s="218"/>
      <c r="D75" s="200" t="s">
        <v>32</v>
      </c>
      <c r="E75" s="219" t="s">
        <v>2256</v>
      </c>
      <c r="F75" s="2511" t="s">
        <v>2257</v>
      </c>
      <c r="G75" s="219" t="s">
        <v>2258</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2259</v>
      </c>
      <c r="C76" s="200">
        <f>IF(F75="购房发票",ROUND(C75*H75*D76,0),0)</f>
        <v>0</v>
      </c>
      <c r="D76" s="222">
        <v>0.05</v>
      </c>
      <c r="E76" s="3122" t="s">
        <v>2260</v>
      </c>
      <c r="F76" s="3121"/>
      <c r="G76" s="3121"/>
      <c r="H76" s="312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3" t="s">
        <v>2263</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2264</v>
      </c>
      <c r="C78" s="225">
        <f ca="1">ROUND(D45*D78/(1+'数据-取费表'!C42),0)</f>
        <v>2773</v>
      </c>
      <c r="D78" s="226">
        <f>'数据-取费表'!B43</f>
        <v>6.000000000000001E-3</v>
      </c>
      <c r="E78" s="3113" t="s">
        <v>2265</v>
      </c>
      <c r="F78" s="3114"/>
      <c r="G78" s="3114"/>
      <c r="H78" s="311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2266</v>
      </c>
      <c r="C79" s="207">
        <f ca="1">C72-C73</f>
        <v>459460</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2267</v>
      </c>
      <c r="C80" s="227">
        <f ca="1">IF(C79&lt;=0,0,C79/C73)</f>
        <v>165.69058781103499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2268</v>
      </c>
      <c r="C81" s="228">
        <f ca="1">ROUND(IF(C79&lt;=0,0,IF(C80&gt;=200%,C79*60%-C73*35%,IF(C80&gt;=100%,C79*50%-C73*15%,IF(C80&gt;=50%,C79*40%-C73*5%,IF(C80&lt;50%,C79*30%,0))))),0)</f>
        <v>274705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5" t="s">
        <v>2269</v>
      </c>
      <c r="B83" s="3126"/>
      <c r="C83" s="3126"/>
      <c r="D83" s="3126"/>
      <c r="E83" s="3126"/>
      <c r="F83" s="3126"/>
      <c r="G83" s="3126"/>
      <c r="H83" s="312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6" t="s">
        <v>2232</v>
      </c>
      <c r="B84" s="3117"/>
      <c r="C84" s="1804"/>
      <c r="D84" s="1804" t="s">
        <v>2233</v>
      </c>
      <c r="E84" s="213" t="s">
        <v>2234</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2252</v>
      </c>
      <c r="C85" s="207">
        <f ca="1">ROUND(D45/(1+'数据-取费表'!C42),0)</f>
        <v>462233</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2253</v>
      </c>
      <c r="C86" s="207">
        <f ca="1">IF(H88="仅含出让金",C87+C90+C91+C92+C93+C94,C87+C91+C92+C93+C94)</f>
        <v>423437.91192800005</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2270</v>
      </c>
      <c r="C87" s="225">
        <f>C88+C89</f>
        <v>249045.91192800002</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2271</v>
      </c>
      <c r="C88" s="236">
        <f>33832*典型户型修正!B22/10000+90000</f>
        <v>241674.91192800002</v>
      </c>
      <c r="D88" s="226"/>
      <c r="E88" s="237" t="s">
        <v>2272</v>
      </c>
      <c r="F88" s="1800"/>
      <c r="G88" s="238" t="s">
        <v>2273</v>
      </c>
      <c r="H88" s="2517" t="s">
        <v>3817</v>
      </c>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2261</v>
      </c>
      <c r="C89" s="225">
        <f>ROUND(C88*D89,0)</f>
        <v>7371</v>
      </c>
      <c r="D89" s="226">
        <f>'数据-取费表'!B48+'数据-取费表'!B49</f>
        <v>3.0499999999999999E-2</v>
      </c>
      <c r="E89" s="237" t="s">
        <v>2274</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2275</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2276</v>
      </c>
      <c r="B91" s="198" t="s">
        <v>2277</v>
      </c>
      <c r="C91" s="225">
        <f ca="1">IF(H91="——",成本法!C33,I91)</f>
        <v>74542</v>
      </c>
      <c r="D91" s="226"/>
      <c r="E91" s="3113" t="s">
        <v>2278</v>
      </c>
      <c r="F91" s="3114"/>
      <c r="G91" s="3114"/>
      <c r="H91" s="2518" t="s">
        <v>2279</v>
      </c>
      <c r="I91" s="2519">
        <f ca="1">ROUND(收益法!C19/收益法!F7*典型户型修正!B22,0)</f>
        <v>74542</v>
      </c>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2280</v>
      </c>
      <c r="B92" s="198" t="s">
        <v>2281</v>
      </c>
      <c r="C92" s="225">
        <f ca="1">ROUND((C87+C90+C91)*D92,0)</f>
        <v>32359</v>
      </c>
      <c r="D92" s="226">
        <v>0.1</v>
      </c>
      <c r="E92" s="3113" t="s">
        <v>2282</v>
      </c>
      <c r="F92" s="3114"/>
      <c r="G92" s="3114"/>
      <c r="H92" s="311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2283</v>
      </c>
      <c r="B93" s="198" t="s">
        <v>2264</v>
      </c>
      <c r="C93" s="225">
        <f ca="1">ROUND(D45*D93/(1+'数据-取费表'!C42),0)</f>
        <v>2773</v>
      </c>
      <c r="D93" s="226">
        <f>'数据-取费表'!B43</f>
        <v>6.000000000000001E-3</v>
      </c>
      <c r="E93" s="3113" t="s">
        <v>2265</v>
      </c>
      <c r="F93" s="3114"/>
      <c r="G93" s="3114"/>
      <c r="H93" s="311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2284</v>
      </c>
      <c r="B94" s="198" t="s">
        <v>2285</v>
      </c>
      <c r="C94" s="236">
        <f ca="1">ROUND((C87+C90+C91)*D94,0)</f>
        <v>64718</v>
      </c>
      <c r="D94" s="226">
        <v>0.2</v>
      </c>
      <c r="E94" s="3161" t="s">
        <v>2286</v>
      </c>
      <c r="F94" s="3162"/>
      <c r="G94" s="3162"/>
      <c r="H94" s="3163"/>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2266</v>
      </c>
      <c r="C95" s="207">
        <f ca="1">ROUND(C85-C86,0)</f>
        <v>38795</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2267</v>
      </c>
      <c r="C96" s="227">
        <f ca="1">IF(C95&lt;=0,0,C95/C86)</f>
        <v>9.1619099063091389E-2</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2268</v>
      </c>
      <c r="C97" s="228">
        <f ca="1">ROUND(IF(C95&lt;=0,0,IF(C96&gt;=200%,C95*60%-C86*35%,IF(C96&gt;=100%,C95*50%-C86*15%,IF(C96&gt;=50%,C95*40%-C86*5%,IF(C96&lt;50%,C95*30%,0))))),0)</f>
        <v>11639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2287</v>
      </c>
      <c r="B99" s="2418"/>
      <c r="C99" s="2418"/>
      <c r="D99" s="2418"/>
      <c r="E99" s="2166"/>
      <c r="F99" s="2166"/>
      <c r="G99" s="2166"/>
      <c r="H99" s="2165"/>
      <c r="I99" s="138"/>
    </row>
    <row r="100" spans="1:35" ht="18.75" customHeight="1">
      <c r="A100" s="3065" t="s">
        <v>2288</v>
      </c>
      <c r="B100" s="3066"/>
      <c r="C100" s="3066"/>
      <c r="D100" s="3097"/>
      <c r="E100" s="3066" t="s">
        <v>2289</v>
      </c>
      <c r="F100" s="3066"/>
      <c r="G100" s="3066"/>
      <c r="H100" s="3097"/>
      <c r="I100" s="138"/>
    </row>
    <row r="101" spans="1:35" ht="18.75" customHeight="1">
      <c r="A101" s="3105" t="s">
        <v>2290</v>
      </c>
      <c r="B101" s="3106"/>
      <c r="C101" s="736" t="str">
        <f>C4</f>
        <v>比较法-住宅</v>
      </c>
      <c r="D101" s="737" t="str">
        <f>D4</f>
        <v>收益法</v>
      </c>
      <c r="E101" s="3077" t="s">
        <v>2291</v>
      </c>
      <c r="F101" s="3078"/>
      <c r="G101" s="2520" t="s">
        <v>2292</v>
      </c>
      <c r="H101" s="1048">
        <f ca="1">H118</f>
        <v>808909</v>
      </c>
      <c r="I101" s="138"/>
    </row>
    <row r="102" spans="1:35" ht="18.75" customHeight="1">
      <c r="A102" s="3107" t="s">
        <v>2293</v>
      </c>
      <c r="B102" s="2520" t="s">
        <v>2292</v>
      </c>
      <c r="C102" s="736">
        <f ca="1">C19</f>
        <v>5585</v>
      </c>
      <c r="D102" s="737">
        <f ca="1">D19</f>
        <v>3135</v>
      </c>
      <c r="E102" s="3077"/>
      <c r="F102" s="3078"/>
      <c r="G102" s="2520" t="s">
        <v>2294</v>
      </c>
      <c r="H102" s="371">
        <f ca="1">I118</f>
        <v>180432</v>
      </c>
      <c r="I102" s="138"/>
    </row>
    <row r="103" spans="1:35" ht="42.75" customHeight="1">
      <c r="A103" s="3107"/>
      <c r="B103" s="2520" t="s">
        <v>2294</v>
      </c>
      <c r="C103" s="738">
        <f ca="1">C20</f>
        <v>204533</v>
      </c>
      <c r="D103" s="739">
        <f ca="1">D20</f>
        <v>114814</v>
      </c>
      <c r="E103" s="3071" t="s">
        <v>3840</v>
      </c>
      <c r="F103" s="3072"/>
      <c r="G103" s="2521" t="s">
        <v>2295</v>
      </c>
      <c r="H103" s="1048">
        <f>IF(D36="正常操作",H104+H105+H106,H105+H106)</f>
        <v>0</v>
      </c>
      <c r="I103" s="138"/>
    </row>
    <row r="104" spans="1:35" ht="18.75" customHeight="1">
      <c r="A104" s="3107" t="s">
        <v>2296</v>
      </c>
      <c r="B104" s="2522" t="s">
        <v>2292</v>
      </c>
      <c r="C104" s="740">
        <f ca="1">H118</f>
        <v>808909</v>
      </c>
      <c r="D104" s="741"/>
      <c r="E104" s="2267" t="s">
        <v>2297</v>
      </c>
      <c r="F104" s="2258"/>
      <c r="G104" s="2521" t="s">
        <v>2295</v>
      </c>
      <c r="H104" s="1049">
        <f>IF(D36="同一抵押权人同一抵押物续贷",C36&amp;"（未扣减，详见特别提示）",C36)</f>
        <v>0</v>
      </c>
      <c r="I104" s="138"/>
    </row>
    <row r="105" spans="1:35" ht="18.75" customHeight="1" thickBot="1">
      <c r="A105" s="3119"/>
      <c r="B105" s="2523" t="s">
        <v>2294</v>
      </c>
      <c r="C105" s="742">
        <f ca="1">I118</f>
        <v>180432</v>
      </c>
      <c r="D105" s="743"/>
      <c r="E105" s="2267" t="s">
        <v>2298</v>
      </c>
      <c r="F105" s="2258"/>
      <c r="G105" s="2521" t="s">
        <v>2295</v>
      </c>
      <c r="H105" s="1049">
        <f>C37</f>
        <v>0</v>
      </c>
      <c r="I105" s="138"/>
    </row>
    <row r="106" spans="1:35" ht="18.75" customHeight="1">
      <c r="A106" s="2418" t="s">
        <v>2299</v>
      </c>
      <c r="B106" s="2418"/>
      <c r="C106" s="2418"/>
      <c r="D106" s="2418"/>
      <c r="E106" s="2524" t="s">
        <v>2300</v>
      </c>
      <c r="F106" s="2258"/>
      <c r="G106" s="2521" t="s">
        <v>2295</v>
      </c>
      <c r="H106" s="1049">
        <f>C38</f>
        <v>0</v>
      </c>
      <c r="I106" s="138"/>
    </row>
    <row r="107" spans="1:35" ht="18.75" customHeight="1">
      <c r="A107" s="138"/>
      <c r="B107" s="138"/>
      <c r="C107" s="138"/>
      <c r="D107" s="138"/>
      <c r="E107" s="3108" t="str">
        <f>IF(项目基本情况!E8="已注销","——","3.房地产抵押价值")</f>
        <v>3.房地产抵押价值</v>
      </c>
      <c r="F107" s="3078"/>
      <c r="G107" s="2520" t="s">
        <v>2292</v>
      </c>
      <c r="H107" s="1048">
        <f ca="1">IF(E107="——","——",H101-H103)</f>
        <v>808909</v>
      </c>
      <c r="I107" s="138"/>
    </row>
    <row r="108" spans="1:35" ht="18.75" customHeight="1">
      <c r="A108" s="138"/>
      <c r="B108" s="138"/>
      <c r="C108" s="138"/>
      <c r="D108" s="138"/>
      <c r="E108" s="3108"/>
      <c r="F108" s="3078"/>
      <c r="G108" s="2520" t="s">
        <v>2294</v>
      </c>
      <c r="H108" s="371">
        <f ca="1">ROUND(H107*10000/'数据-汇总表'!E3,0)</f>
        <v>180432</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078"/>
      <c r="G109" s="2520" t="s">
        <v>2292</v>
      </c>
      <c r="H109" s="348" t="str">
        <f>IF(E109="——","——",H101-H105-H106)</f>
        <v>——</v>
      </c>
      <c r="I109" s="138"/>
    </row>
    <row r="110" spans="1:35" ht="18.75" customHeight="1">
      <c r="A110" s="138"/>
      <c r="B110" s="138"/>
      <c r="C110" s="138"/>
      <c r="D110" s="138"/>
      <c r="E110" s="3108"/>
      <c r="F110" s="3078"/>
      <c r="G110" s="2520" t="s">
        <v>2294</v>
      </c>
      <c r="H110" s="371" t="str">
        <f>IF(H109="——","——",ROUND(H109*10000/'数据-汇总表'!E3,0))</f>
        <v>——</v>
      </c>
      <c r="I110" s="138"/>
    </row>
    <row r="111" spans="1:35" ht="18.75" customHeight="1">
      <c r="A111" s="138"/>
      <c r="B111" s="138"/>
      <c r="C111" s="138"/>
      <c r="D111" s="138"/>
      <c r="E111" s="3109" t="str">
        <f>IF(项目基本情况!E9="抵押净值",IF(OR(项目基本情况!E8="已注销",项目基本情况!E8="房地产抵押价值"),"4.抵押净值","5.抵押净值"),"——")</f>
        <v>4.抵押净值</v>
      </c>
      <c r="F111" s="3110"/>
      <c r="G111" s="2520" t="s">
        <v>2292</v>
      </c>
      <c r="H111" s="1048">
        <f ca="1">IF(E111="——","——",N59)</f>
        <v>771142</v>
      </c>
      <c r="I111" s="138"/>
    </row>
    <row r="112" spans="1:35" ht="18.75" customHeight="1" thickBot="1">
      <c r="A112" s="138"/>
      <c r="B112" s="138"/>
      <c r="C112" s="138"/>
      <c r="D112" s="138"/>
      <c r="E112" s="3111"/>
      <c r="F112" s="3112"/>
      <c r="G112" s="2525" t="s">
        <v>2294</v>
      </c>
      <c r="H112" s="790">
        <f ca="1">IF(E111="——","——",N61)</f>
        <v>172008</v>
      </c>
      <c r="I112" s="138"/>
    </row>
    <row r="113" spans="1:11" ht="18.75" customHeight="1">
      <c r="A113" s="138"/>
      <c r="B113" s="138"/>
      <c r="C113" s="138"/>
      <c r="D113" s="138"/>
      <c r="E113" s="3120" t="s">
        <v>2299</v>
      </c>
      <c r="F113" s="3120"/>
      <c r="G113" s="3120"/>
      <c r="H113" s="3120"/>
      <c r="I113" s="138"/>
    </row>
    <row r="114" spans="1:11" ht="3.75" customHeight="1">
      <c r="A114" s="2418"/>
      <c r="B114" s="2418"/>
      <c r="C114" s="2418"/>
      <c r="D114" s="2418"/>
      <c r="E114" s="2496"/>
      <c r="F114" s="2496"/>
      <c r="G114" s="2496"/>
      <c r="H114" s="2496"/>
      <c r="I114" s="2418"/>
    </row>
    <row r="115" spans="1:11" ht="18.75" customHeight="1">
      <c r="A115" s="3133" t="s">
        <v>2301</v>
      </c>
      <c r="B115" s="3134"/>
      <c r="C115" s="3134"/>
      <c r="D115" s="3134"/>
      <c r="E115" s="3134"/>
      <c r="F115" s="3134"/>
      <c r="G115" s="3134"/>
      <c r="H115" s="3134"/>
      <c r="I115" s="3135"/>
    </row>
    <row r="116" spans="1:11" ht="27" customHeight="1">
      <c r="A116" s="3044" t="s">
        <v>2302</v>
      </c>
      <c r="B116" s="3087" t="s">
        <v>3042</v>
      </c>
      <c r="C116" s="3087" t="s">
        <v>3839</v>
      </c>
      <c r="D116" s="3093" t="s">
        <v>2303</v>
      </c>
      <c r="E116" s="3094"/>
      <c r="F116" s="3129" t="s">
        <v>2304</v>
      </c>
      <c r="G116" s="3129"/>
      <c r="H116" s="3044" t="s">
        <v>2305</v>
      </c>
      <c r="I116" s="3044"/>
    </row>
    <row r="117" spans="1:11" ht="18.75" customHeight="1">
      <c r="A117" s="3044"/>
      <c r="B117" s="3088"/>
      <c r="C117" s="3088"/>
      <c r="D117" s="1798" t="s">
        <v>2306</v>
      </c>
      <c r="E117" s="1798" t="s">
        <v>2307</v>
      </c>
      <c r="F117" s="1798" t="s">
        <v>2306</v>
      </c>
      <c r="G117" s="1798" t="s">
        <v>2308</v>
      </c>
      <c r="H117" s="1798" t="s">
        <v>2306</v>
      </c>
      <c r="I117" s="1798" t="s">
        <v>2308</v>
      </c>
    </row>
    <row r="118" spans="1:11" ht="24.75" customHeight="1">
      <c r="A118" s="2526" t="str">
        <f>项目基本情况!S2</f>
        <v>北京市海淀区万柳华府北街9号院房地产</v>
      </c>
      <c r="B118" s="1798">
        <f>'数据-基础表'!B3</f>
        <v>44831.789999999994</v>
      </c>
      <c r="C118" s="1798">
        <f>'数据-基础表'!A3</f>
        <v>12068.97</v>
      </c>
      <c r="D118" s="1798">
        <f ca="1">ROUND(IF(D32="总价",C34,E118*B118/10000),0)</f>
        <v>711709</v>
      </c>
      <c r="E118" s="1798">
        <f ca="1">ROUND(IF(C33="自定义",IF(D32="楼面单价",C34,D118*10000/B118),I118-G118),0)</f>
        <v>158751</v>
      </c>
      <c r="F118" s="1798">
        <f ca="1">ROUND(IF(D32="总价",C35,G118*B118/10000),0)</f>
        <v>97200</v>
      </c>
      <c r="G118" s="1798">
        <f ca="1">ROUND(IF(D32="楼面单价",C35,F118*10000/B118),0)</f>
        <v>21681</v>
      </c>
      <c r="H118" s="1798">
        <f ca="1">ROUND(IF(D32="总价",C32,I118*B118/10000),0)</f>
        <v>808909</v>
      </c>
      <c r="I118" s="1798">
        <f ca="1">ROUND(IF(D32="楼面单价",C32,H118*10000/B118),0)</f>
        <v>180432</v>
      </c>
    </row>
    <row r="119" spans="1:11" ht="18.75" customHeight="1">
      <c r="A119" s="3044" t="s">
        <v>2309</v>
      </c>
      <c r="B119" s="3044"/>
      <c r="C119" s="3044"/>
      <c r="D119" s="3089" t="str">
        <f ca="1">NUMBERSTRING(INT(D118*10000),2)&amp;"元整"</f>
        <v>柒拾壹亿壹仟柒佰零玖万元整</v>
      </c>
      <c r="E119" s="3090"/>
      <c r="F119" s="3089" t="str">
        <f ca="1">NUMBERSTRING(INT(F118*10000),2)&amp;"元整"</f>
        <v>玖亿柒仟贰佰万元整</v>
      </c>
      <c r="G119" s="3090"/>
      <c r="H119" s="3089" t="str">
        <f ca="1">NUMBERSTRING(INT(H118*10000),2)&amp;"元整"</f>
        <v>捌拾亿捌仟玖佰零玖万元整</v>
      </c>
      <c r="I119" s="3090"/>
    </row>
    <row r="120" spans="1:11" ht="18.75" customHeight="1">
      <c r="A120" s="3084" t="str">
        <f>IF(项目基本情况!B9="房地产市场价值","",MID(E103,3,LEN(E103)-2))</f>
        <v>估价师知悉的除抵押担保权以外的法定优先受偿款</v>
      </c>
      <c r="B120" s="3085"/>
      <c r="C120" s="3086"/>
      <c r="D120" s="3084">
        <f>H103</f>
        <v>0</v>
      </c>
      <c r="E120" s="3085"/>
      <c r="F120" s="3085"/>
      <c r="G120" s="3085"/>
      <c r="H120" s="3085"/>
      <c r="I120" s="3086"/>
      <c r="K120" s="2423" t="str">
        <f>IF(D120=0,"故，本次评估不存在"&amp;A120,"故，本次评估"&amp;A120&amp;"为人民币"&amp;D120&amp;"万元整。")</f>
        <v>故，本次评估不存在估价师知悉的除抵押担保权以外的法定优先受偿款</v>
      </c>
    </row>
    <row r="121" spans="1:11" ht="18.75" customHeight="1">
      <c r="A121" s="3130" t="s">
        <v>2309</v>
      </c>
      <c r="B121" s="3131"/>
      <c r="C121" s="3132"/>
      <c r="D121" s="3089" t="str">
        <f>IF(D120=0,"零元整",NUMBERSTRING(INT(D120*10000),2)&amp;"元整")</f>
        <v>零元整</v>
      </c>
      <c r="E121" s="3091"/>
      <c r="F121" s="3091"/>
      <c r="G121" s="3091"/>
      <c r="H121" s="3091"/>
      <c r="I121" s="3090"/>
    </row>
    <row r="122" spans="1:11" ht="18.75" customHeight="1">
      <c r="A122" s="3095" t="str">
        <f>IF(项目基本情况!B9="房地产市场价值","",MID(E107,3,LEN(E107)-2))</f>
        <v>房地产抵押价值</v>
      </c>
      <c r="B122" s="3095"/>
      <c r="C122" s="3095"/>
      <c r="D122" s="3084">
        <f ca="1">H107</f>
        <v>808909</v>
      </c>
      <c r="E122" s="3085"/>
      <c r="F122" s="3085"/>
      <c r="G122" s="3085"/>
      <c r="H122" s="3085"/>
      <c r="I122" s="3086"/>
    </row>
    <row r="123" spans="1:11" ht="18.75" customHeight="1">
      <c r="A123" s="3044" t="s">
        <v>2309</v>
      </c>
      <c r="B123" s="3044"/>
      <c r="C123" s="3044"/>
      <c r="D123" s="3089" t="str">
        <f ca="1">NUMBERSTRING(INT(D122*10000),2)&amp;"元整"</f>
        <v>捌拾亿捌仟玖佰零玖万元整</v>
      </c>
      <c r="E123" s="3091"/>
      <c r="F123" s="3091"/>
      <c r="G123" s="3091"/>
      <c r="H123" s="3091"/>
      <c r="I123" s="3090"/>
    </row>
    <row r="124" spans="1:11" ht="18.75" customHeight="1">
      <c r="A124" s="3095" t="str">
        <f>IF(项目基本情况!B9="房地产市场价值","",MID(E109,3,LEN(E109)-2))</f>
        <v/>
      </c>
      <c r="B124" s="3095"/>
      <c r="C124" s="3095"/>
      <c r="D124" s="3084" t="str">
        <f>H109</f>
        <v>——</v>
      </c>
      <c r="E124" s="3085"/>
      <c r="F124" s="3085"/>
      <c r="G124" s="3085"/>
      <c r="H124" s="3085"/>
      <c r="I124" s="3086"/>
    </row>
    <row r="125" spans="1:11" ht="18.75" customHeight="1">
      <c r="A125" s="3044" t="s">
        <v>2309</v>
      </c>
      <c r="B125" s="3044"/>
      <c r="C125" s="3044"/>
      <c r="D125" s="3089" t="e">
        <f>NUMBERSTRING(INT(D124*10000),2)&amp;"元整"</f>
        <v>#VALUE!</v>
      </c>
      <c r="E125" s="3091"/>
      <c r="F125" s="3091"/>
      <c r="G125" s="3091"/>
      <c r="H125" s="3091"/>
      <c r="I125" s="3090"/>
    </row>
    <row r="126" spans="1:11" ht="18.75" customHeight="1">
      <c r="A126" s="3095" t="str">
        <f>IF(项目基本情况!B9="房地产市场价值","",MID(E111,3,LEN(E111)-2))</f>
        <v>抵押净值</v>
      </c>
      <c r="B126" s="3095"/>
      <c r="C126" s="3095"/>
      <c r="D126" s="3084">
        <f ca="1">H111</f>
        <v>771142</v>
      </c>
      <c r="E126" s="3085"/>
      <c r="F126" s="3085"/>
      <c r="G126" s="3085"/>
      <c r="H126" s="3085"/>
      <c r="I126" s="3086"/>
    </row>
    <row r="127" spans="1:11" ht="18.75" customHeight="1">
      <c r="A127" s="3044" t="s">
        <v>2309</v>
      </c>
      <c r="B127" s="3044"/>
      <c r="C127" s="3044"/>
      <c r="D127" s="3089" t="str">
        <f ca="1">NUMBERSTRING(INT(D126*10000),2)&amp;"元整"</f>
        <v>柒拾柒亿壹仟壹佰肆拾贰万元整</v>
      </c>
      <c r="E127" s="3091"/>
      <c r="F127" s="3091"/>
      <c r="G127" s="3091"/>
      <c r="H127" s="3091"/>
      <c r="I127" s="3090"/>
    </row>
    <row r="128" spans="1:11" ht="21.75" customHeight="1">
      <c r="A128" s="3092" t="s">
        <v>2310</v>
      </c>
      <c r="B128" s="3092"/>
      <c r="C128" s="3092"/>
      <c r="D128" s="3092"/>
      <c r="E128" s="3092"/>
      <c r="F128" s="3092"/>
      <c r="G128" s="3092"/>
      <c r="H128" s="3092"/>
      <c r="I128" s="3092"/>
    </row>
    <row r="129" spans="1:35" ht="21.75" customHeight="1">
      <c r="A129" s="2527" t="s">
        <v>2311</v>
      </c>
      <c r="B129" s="2528"/>
      <c r="C129" s="2529" t="s">
        <v>2312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2313</v>
      </c>
      <c r="G135" s="2544"/>
      <c r="H135" s="2544"/>
      <c r="I135" s="2545" t="s">
        <v>2314</v>
      </c>
    </row>
    <row r="136" spans="1:35" ht="21.75" customHeight="1">
      <c r="A136" s="795"/>
      <c r="B136" s="2546"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2316</v>
      </c>
    </row>
    <row r="139" spans="1:35" ht="21.75" customHeight="1">
      <c r="A139" s="795"/>
      <c r="B139" s="2546" t="s">
        <v>2317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2316</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K25" sqref="K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40"/>
      <c r="C1" s="242"/>
      <c r="D1" s="242"/>
      <c r="E1" s="242"/>
      <c r="F1" s="242"/>
      <c r="G1" s="1382">
        <f>MATCH(B1,'数据-取费表'!A6:A16,0)+5</f>
        <v>8</v>
      </c>
    </row>
    <row r="2" spans="1:9" s="244" customFormat="1" ht="18" customHeight="1">
      <c r="A2" s="245" t="s">
        <v>2319</v>
      </c>
      <c r="B2" s="246">
        <f ca="1">IF(D2="——",C52,C52-E2)</f>
        <v>1751</v>
      </c>
      <c r="C2" s="243" t="s">
        <v>2320</v>
      </c>
      <c r="D2" s="2549" t="s">
        <v>70</v>
      </c>
      <c r="E2" s="1443" t="e">
        <f ca="1">SUMIF(INDIRECT("'"&amp;G2&amp;"'"&amp;"!A:A"),"承租人权益价值",INDIRECT("'"&amp;G2&amp;"'"&amp;"!c:c"))</f>
        <v>#REF!</v>
      </c>
      <c r="F2" s="2550" t="s">
        <v>2320</v>
      </c>
      <c r="G2" s="2551"/>
    </row>
    <row r="3" spans="1:9" s="244" customFormat="1" ht="18" customHeight="1" thickBot="1">
      <c r="A3" s="247" t="s">
        <v>2321</v>
      </c>
      <c r="B3" s="248">
        <f ca="1">ROUND(B2*10000/(IF(B1="",'数据-汇总表'!E3,INDIRECT("'数据-取费表'!k"&amp;$G$1))),0)</f>
        <v>391</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0</v>
      </c>
      <c r="D5" s="255" t="s">
        <v>2326</v>
      </c>
      <c r="E5" s="256" t="s">
        <v>2327</v>
      </c>
      <c r="F5" s="256" t="s">
        <v>2328</v>
      </c>
      <c r="G5" s="257"/>
    </row>
    <row r="6" spans="1:9" s="258" customFormat="1" ht="13.5" customHeight="1">
      <c r="A6" s="952" t="s">
        <v>2329</v>
      </c>
      <c r="B6" s="259" t="s">
        <v>2330</v>
      </c>
      <c r="C6" s="260">
        <f ca="1">基准地价修正!B2</f>
        <v>0</v>
      </c>
      <c r="D6" s="261"/>
      <c r="E6" s="262"/>
      <c r="F6" s="262"/>
      <c r="G6" s="263"/>
    </row>
    <row r="7" spans="1:9" s="258" customFormat="1" ht="13.5" customHeight="1">
      <c r="A7" s="952" t="s">
        <v>2331</v>
      </c>
      <c r="B7" s="259" t="s">
        <v>2332</v>
      </c>
      <c r="C7" s="264">
        <f ca="1">ROUND(C6*F7,0)</f>
        <v>0</v>
      </c>
      <c r="D7" s="264"/>
      <c r="E7" s="262"/>
      <c r="F7" s="265">
        <f>'数据-取费表'!B48+'数据-取费表'!B49</f>
        <v>3.0499999999999999E-2</v>
      </c>
      <c r="G7" s="263"/>
    </row>
    <row r="8" spans="1:9" s="267" customFormat="1">
      <c r="A8" s="952" t="s">
        <v>2333</v>
      </c>
      <c r="B8" s="259" t="s">
        <v>2334</v>
      </c>
      <c r="C8" s="264">
        <f ca="1">IF(G8="已包含在土地购买价格中","0",IF(B1="",'数据-取费表'!B29,IF(G9="全部缴纳",C9+C10,H9)))</f>
        <v>0</v>
      </c>
      <c r="D8" s="266"/>
      <c r="E8" s="264"/>
      <c r="F8" s="265"/>
      <c r="G8" s="2552" t="s">
        <v>3781</v>
      </c>
    </row>
    <row r="9" spans="1:9" s="258" customFormat="1" ht="13.5" customHeight="1">
      <c r="A9" s="953" t="s">
        <v>800</v>
      </c>
      <c r="B9" s="268" t="s">
        <v>2335</v>
      </c>
      <c r="C9" s="269">
        <f ca="1">ROUND(D9*E9/10000,0)</f>
        <v>717</v>
      </c>
      <c r="D9" s="1035">
        <f ca="1">IF(B1="",'数据-汇总表'!E5,IF(INDIRECT("'数据-取费表'!c"&amp;$G$1)="住宅",INDIRECT("'数据-取费表'!k"&amp;$G$1),0))</f>
        <v>44831.789999999994</v>
      </c>
      <c r="E9" s="269">
        <f>'数据-取费表'!B27</f>
        <v>160</v>
      </c>
      <c r="F9" s="265"/>
      <c r="G9" s="2553" t="s">
        <v>3779</v>
      </c>
      <c r="H9" s="1393"/>
      <c r="I9" s="2554" t="s">
        <v>2336</v>
      </c>
    </row>
    <row r="10" spans="1:9" s="258" customFormat="1" ht="13.5" customHeight="1">
      <c r="A10" s="953" t="s">
        <v>801</v>
      </c>
      <c r="B10" s="268" t="s">
        <v>2337</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t="str">
        <f>IF(G19="已包含在土地取得成本中","0",ROUND(D19*E19/10000,0))</f>
        <v>0</v>
      </c>
      <c r="D19" s="1039">
        <f ca="1">D9+D10</f>
        <v>44831.789999999994</v>
      </c>
      <c r="E19" s="255">
        <f>'数据-取费表'!B31</f>
        <v>200</v>
      </c>
      <c r="F19" s="275"/>
      <c r="G19" s="2552" t="s">
        <v>3780</v>
      </c>
    </row>
    <row r="20" spans="1:7" s="258" customFormat="1" ht="13.5" customHeight="1">
      <c r="A20" s="299" t="s">
        <v>2350</v>
      </c>
      <c r="B20" s="254" t="s">
        <v>2351</v>
      </c>
      <c r="C20" s="276">
        <f ca="1">ROUND((C5+C19)*F20,0)</f>
        <v>0</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7">
        <f ca="1">ROUND(SUM(C23:C25),0)</f>
        <v>0</v>
      </c>
      <c r="D22" s="279">
        <f ca="1">C26</f>
        <v>1.1999999999999999E-3</v>
      </c>
      <c r="E22" s="280" t="s">
        <v>2355</v>
      </c>
      <c r="F22" s="281">
        <f ca="1">'数据-取费表'!B40</f>
        <v>4.7500000000000001E-2</v>
      </c>
      <c r="G22" s="278" t="str">
        <f>IF('数据-取费表'!B22&lt;=1,"单利计息","复利计息")</f>
        <v>复利计息</v>
      </c>
    </row>
    <row r="23" spans="1:7" s="258" customFormat="1" ht="13.5" customHeight="1">
      <c r="A23" s="954" t="s">
        <v>2359</v>
      </c>
      <c r="B23" s="259" t="s">
        <v>2360</v>
      </c>
      <c r="C23" s="1358">
        <f ca="1">ROUND(IF('数据-取费表'!B22&lt;=1,C5*F22*'数据-取费表'!B23,C5*(POWER((1+F22),'数据-取费表'!B23)-1)),0)</f>
        <v>0</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0</v>
      </c>
      <c r="D24" s="282"/>
      <c r="E24" s="282"/>
      <c r="F24" s="283"/>
      <c r="G24" s="284" t="s">
        <v>2364</v>
      </c>
    </row>
    <row r="25" spans="1:7" s="258" customFormat="1" ht="24">
      <c r="A25" s="954" t="s">
        <v>2365</v>
      </c>
      <c r="B25" s="259" t="s">
        <v>2366</v>
      </c>
      <c r="C25" s="1358">
        <f ca="1">ROUND(IF('数据-取费表'!B22&lt;=1,C20*F22*'数据-取费表'!B23/2,C20*(POWER((1+F22),'数据-取费表'!B23/2)-1)),0)</f>
        <v>0</v>
      </c>
      <c r="D25" s="282"/>
      <c r="E25" s="285"/>
      <c r="F25" s="283"/>
      <c r="G25" s="286" t="s">
        <v>2367</v>
      </c>
    </row>
    <row r="26" spans="1:7" s="258" customFormat="1">
      <c r="A26" s="954" t="s">
        <v>795</v>
      </c>
      <c r="B26" s="259" t="s">
        <v>2368</v>
      </c>
      <c r="C26" s="282">
        <f ca="1">ROUND(IF('数据-取费表'!B22&lt;=1,F21*F22*'数据-取费表'!B23/2,F21*(POWER((1+F22),'数据-取费表'!B23/2)-1)),4)</f>
        <v>1.1999999999999999E-3</v>
      </c>
      <c r="D26" s="282"/>
      <c r="E26" s="285"/>
      <c r="F26" s="283"/>
      <c r="G26" s="287"/>
    </row>
    <row r="27" spans="1:7" s="258" customFormat="1" ht="24.75">
      <c r="A27" s="299" t="s">
        <v>2369</v>
      </c>
      <c r="B27" s="288" t="s">
        <v>2370</v>
      </c>
      <c r="C27" s="289">
        <f ca="1">C28</f>
        <v>0</v>
      </c>
      <c r="D27" s="279">
        <f ca="1">C29</f>
        <v>4.0000000000000001E-3</v>
      </c>
      <c r="E27" s="280" t="s">
        <v>2371</v>
      </c>
      <c r="F27" s="290">
        <f ca="1">IF(B1="",'数据-取费表'!Q16,INDIRECT("'数据-取费表'!q"&amp;$G$1))</f>
        <v>0.2</v>
      </c>
      <c r="G27" s="291" t="s">
        <v>2372</v>
      </c>
    </row>
    <row r="28" spans="1:7" s="258" customFormat="1" ht="13.5" customHeight="1">
      <c r="A28" s="954" t="s">
        <v>791</v>
      </c>
      <c r="B28" s="292" t="s">
        <v>2373</v>
      </c>
      <c r="C28" s="293">
        <f ca="1">ROUND((C5+C19+C20)*F27*'数据-取费表'!B21/'数据-取费表'!B20,0)</f>
        <v>0</v>
      </c>
      <c r="D28" s="279"/>
      <c r="E28" s="280"/>
      <c r="F28" s="290"/>
      <c r="G28" s="291"/>
    </row>
    <row r="29" spans="1:7" s="258" customFormat="1" ht="13.5" customHeight="1">
      <c r="A29" s="954" t="s">
        <v>792</v>
      </c>
      <c r="B29" s="292" t="s">
        <v>2374</v>
      </c>
      <c r="C29" s="282">
        <f ca="1">ROUND(C21*F27*'数据-取费表'!B21/'数据-取费表'!B20,4)</f>
        <v>4.0000000000000001E-3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0</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1346</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410</v>
      </c>
      <c r="D34" s="261"/>
      <c r="E34" s="264"/>
      <c r="F34" s="301">
        <f ca="1">IF('数据-取费表'!B24=0,1,IF(B1="",'数据-取费表'!N16,INDIRECT("'数据-取费表'!n"&amp;$G$1)))</f>
        <v>1</v>
      </c>
      <c r="G34" s="263" t="s">
        <v>2383</v>
      </c>
    </row>
    <row r="35" spans="1:7" ht="13.5" customHeight="1">
      <c r="A35" s="954" t="s">
        <v>796</v>
      </c>
      <c r="B35" s="259" t="s">
        <v>2384</v>
      </c>
      <c r="C35" s="264">
        <f ca="1">ROUND(C34*F35,0)</f>
        <v>12</v>
      </c>
      <c r="D35" s="264"/>
      <c r="E35" s="264"/>
      <c r="F35" s="303">
        <f>'数据-取费表'!B33</f>
        <v>0.03</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21</v>
      </c>
      <c r="D36" s="264"/>
      <c r="E36" s="264"/>
      <c r="F36" s="303">
        <f>'数据-取费表'!B34</f>
        <v>0.05</v>
      </c>
      <c r="G36" s="304" t="s">
        <v>2387</v>
      </c>
    </row>
    <row r="37" spans="1:7" s="302" customFormat="1" ht="13.5" customHeight="1">
      <c r="A37" s="954" t="s">
        <v>798</v>
      </c>
      <c r="B37" s="259" t="s">
        <v>2388</v>
      </c>
      <c r="C37" s="293">
        <f ca="1">ROUND(E37*D37*F34/10000,0)</f>
        <v>897</v>
      </c>
      <c r="D37" s="261">
        <f ca="1">D19</f>
        <v>44831.789999999994</v>
      </c>
      <c r="E37" s="293">
        <f>'数据-取费表'!B35</f>
        <v>200</v>
      </c>
      <c r="F37" s="303"/>
      <c r="G37" s="305" t="s">
        <v>2389</v>
      </c>
    </row>
    <row r="38" spans="1:7" ht="13.5" customHeight="1">
      <c r="A38" s="954" t="s">
        <v>799</v>
      </c>
      <c r="B38" s="259" t="s">
        <v>2390</v>
      </c>
      <c r="C38" s="264">
        <f ca="1">ROUND(C34*F38,0)</f>
        <v>6</v>
      </c>
      <c r="D38" s="264"/>
      <c r="E38" s="264"/>
      <c r="F38" s="303">
        <f>'数据-取费表'!B36</f>
        <v>1.4999999999999999E-2</v>
      </c>
      <c r="G38" s="263" t="s">
        <v>2385</v>
      </c>
    </row>
    <row r="39" spans="1:7" s="258" customFormat="1" ht="13.5" customHeight="1">
      <c r="A39" s="299" t="s">
        <v>2391</v>
      </c>
      <c r="B39" s="254" t="s">
        <v>2392</v>
      </c>
      <c r="C39" s="276">
        <f ca="1">ROUND(C33*F20,0)</f>
        <v>27</v>
      </c>
      <c r="D39" s="276"/>
      <c r="E39" s="276"/>
      <c r="F39" s="277"/>
      <c r="G39" s="278" t="s">
        <v>2393</v>
      </c>
    </row>
    <row r="40" spans="1:7" s="258" customFormat="1" ht="13.5" customHeight="1">
      <c r="A40" s="299" t="s">
        <v>2394</v>
      </c>
      <c r="B40" s="254" t="s">
        <v>2395</v>
      </c>
      <c r="C40" s="1731">
        <f>F21</f>
        <v>0.02</v>
      </c>
      <c r="D40" s="280" t="s">
        <v>2396</v>
      </c>
      <c r="E40" s="276"/>
      <c r="F40" s="277"/>
      <c r="G40" s="278" t="s">
        <v>2397</v>
      </c>
    </row>
    <row r="41" spans="1:7" s="258" customFormat="1" ht="13.5" customHeight="1">
      <c r="A41" s="299" t="s">
        <v>2398</v>
      </c>
      <c r="B41" s="254" t="s">
        <v>2399</v>
      </c>
      <c r="C41" s="276">
        <f ca="1">ROUND(SUM(C42:C43),0)</f>
        <v>82</v>
      </c>
      <c r="D41" s="279">
        <f ca="1">C44</f>
        <v>1.1999999999999999E-3</v>
      </c>
      <c r="E41" s="280" t="s">
        <v>2396</v>
      </c>
      <c r="F41" s="281"/>
      <c r="G41" s="278" t="str">
        <f>IF('数据-取费表'!B22&lt;=1,"单利计息","复利计息")</f>
        <v>复利计息</v>
      </c>
    </row>
    <row r="42" spans="1:7" ht="13.5" customHeight="1">
      <c r="A42" s="954" t="s">
        <v>791</v>
      </c>
      <c r="B42" s="259" t="s">
        <v>2400</v>
      </c>
      <c r="C42" s="282">
        <f ca="1">ROUND(IF('数据-取费表'!B22&lt;=1,C33*F22*'数据-取费表'!B21/2,C33*(POWER((1+F22),'数据-取费表'!B21/2)-1)),0)</f>
        <v>80</v>
      </c>
      <c r="D42" s="282"/>
      <c r="E42" s="282"/>
      <c r="F42" s="283"/>
      <c r="G42" s="3164" t="s">
        <v>2401</v>
      </c>
    </row>
    <row r="43" spans="1:7" ht="13.5" customHeight="1">
      <c r="A43" s="954" t="s">
        <v>792</v>
      </c>
      <c r="B43" s="259" t="s">
        <v>2402</v>
      </c>
      <c r="C43" s="282">
        <f ca="1">ROUND(IF('数据-取费表'!B22&lt;=1,C39*F22*'数据-取费表'!B21/2,C39*(POWER((1+F22),'数据-取费表'!B21/2)-1)),0)</f>
        <v>2</v>
      </c>
      <c r="D43" s="282"/>
      <c r="E43" s="282"/>
      <c r="F43" s="283"/>
      <c r="G43" s="3165"/>
    </row>
    <row r="44" spans="1:7" ht="13.5" customHeight="1">
      <c r="A44" s="954" t="s">
        <v>793</v>
      </c>
      <c r="B44" s="259" t="s">
        <v>2403</v>
      </c>
      <c r="C44" s="282">
        <f ca="1">ROUND(IF('数据-取费表'!B22&lt;=1,C40*F22*'数据-取费表'!B21/2,C40*(POWER((1+F22),'数据-取费表'!B21/2)-1)),4)</f>
        <v>1.1999999999999999E-3</v>
      </c>
      <c r="D44" s="282"/>
      <c r="E44" s="282"/>
      <c r="F44" s="283"/>
      <c r="G44" s="3166"/>
    </row>
    <row r="45" spans="1:7" s="258" customFormat="1" ht="13.5" customHeight="1">
      <c r="A45" s="299" t="s">
        <v>2404</v>
      </c>
      <c r="B45" s="288" t="s">
        <v>2370</v>
      </c>
      <c r="C45" s="289">
        <f ca="1">C46</f>
        <v>275</v>
      </c>
      <c r="D45" s="279">
        <f ca="1">C47</f>
        <v>4.0000000000000001E-3</v>
      </c>
      <c r="E45" s="280" t="s">
        <v>2396</v>
      </c>
      <c r="F45" s="290"/>
      <c r="G45" s="291" t="s">
        <v>2405</v>
      </c>
    </row>
    <row r="46" spans="1:7" s="258" customFormat="1" ht="13.5" customHeight="1">
      <c r="A46" s="954" t="s">
        <v>791</v>
      </c>
      <c r="B46" s="292" t="s">
        <v>2406</v>
      </c>
      <c r="C46" s="293">
        <f ca="1">ROUND((C33+C39)*F27,0)</f>
        <v>275</v>
      </c>
      <c r="D46" s="307"/>
      <c r="E46" s="280"/>
      <c r="F46" s="290"/>
      <c r="G46" s="291"/>
    </row>
    <row r="47" spans="1:7" s="258" customFormat="1" ht="13.5" customHeight="1">
      <c r="A47" s="954" t="s">
        <v>792</v>
      </c>
      <c r="B47" s="292" t="s">
        <v>2407</v>
      </c>
      <c r="C47" s="282">
        <f ca="1">ROUND(C40*F27,4)</f>
        <v>4.0000000000000001E-3</v>
      </c>
      <c r="D47" s="307"/>
      <c r="E47" s="280"/>
      <c r="F47" s="290"/>
      <c r="G47" s="291"/>
    </row>
    <row r="48" spans="1:7" s="258" customFormat="1" ht="13.5" customHeight="1">
      <c r="A48" s="299" t="s">
        <v>2369</v>
      </c>
      <c r="B48" s="254" t="s">
        <v>2408</v>
      </c>
      <c r="C48" s="1731">
        <f>ROUND(F30/(1+'数据-取费表'!C42),4)</f>
        <v>5.33E-2</v>
      </c>
      <c r="D48" s="280" t="s">
        <v>2396</v>
      </c>
      <c r="E48" s="276"/>
      <c r="F48" s="281"/>
      <c r="G48" s="278" t="s">
        <v>2409</v>
      </c>
    </row>
    <row r="49" spans="1:7" ht="16.5" customHeight="1">
      <c r="A49" s="299" t="s">
        <v>2375</v>
      </c>
      <c r="B49" s="254" t="s">
        <v>2410</v>
      </c>
      <c r="C49" s="276">
        <f ca="1">ROUND((C33+C39+C41+C45)/(1-C40-D41-D45-C48),0)</f>
        <v>1877</v>
      </c>
      <c r="D49" s="276"/>
      <c r="E49" s="276"/>
      <c r="F49" s="308"/>
      <c r="G49" s="278" t="s">
        <v>2411</v>
      </c>
    </row>
    <row r="50" spans="1:7" s="302" customFormat="1" ht="24">
      <c r="A50" s="299" t="s">
        <v>2412</v>
      </c>
      <c r="B50" s="254" t="s">
        <v>2413</v>
      </c>
      <c r="C50" s="276"/>
      <c r="D50" s="276"/>
      <c r="E50" s="276"/>
      <c r="F50" s="308">
        <f>IF('数据-取费表'!B24=0,'数据-取费表'!N16,1)</f>
        <v>0.93300000000000005</v>
      </c>
      <c r="G50" s="291" t="s">
        <v>2414</v>
      </c>
    </row>
    <row r="51" spans="1:7" ht="16.5" customHeight="1">
      <c r="A51" s="299" t="s">
        <v>2415</v>
      </c>
      <c r="B51" s="254" t="s">
        <v>2416</v>
      </c>
      <c r="C51" s="276">
        <f ca="1">ROUND(C49*F50,0)</f>
        <v>1751</v>
      </c>
      <c r="D51" s="276"/>
      <c r="E51" s="276"/>
      <c r="F51" s="308"/>
      <c r="G51" s="278" t="s">
        <v>2417</v>
      </c>
    </row>
    <row r="52" spans="1:7" s="252" customFormat="1" ht="16.5" thickBot="1">
      <c r="A52" s="309" t="s">
        <v>2418</v>
      </c>
      <c r="B52" s="310"/>
      <c r="C52" s="311">
        <f ca="1">C31+C51</f>
        <v>1751</v>
      </c>
      <c r="D52" s="310"/>
      <c r="E52" s="310"/>
      <c r="F52" s="310"/>
      <c r="G52" s="312"/>
    </row>
    <row r="55" spans="1:7" ht="15">
      <c r="B55" s="314" t="s">
        <v>2419</v>
      </c>
      <c r="C55" s="315"/>
    </row>
    <row r="56" spans="1:7">
      <c r="B56" s="317" t="s">
        <v>1513</v>
      </c>
      <c r="C56" s="319">
        <f ca="1">1-C57</f>
        <v>0</v>
      </c>
    </row>
    <row r="57" spans="1:7">
      <c r="B57" s="317" t="s">
        <v>1514</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8" t="str">
        <f>项目基本情况!B1</f>
        <v>北京市海淀区万柳华府北街9号院房地产抵押价值预评估</v>
      </c>
      <c r="C37" s="2978"/>
      <c r="D37" s="2978"/>
      <c r="E37" s="2978"/>
      <c r="F37" s="2978"/>
      <c r="G37" s="2978"/>
      <c r="H37" s="2978"/>
      <c r="I37" s="2978"/>
    </row>
    <row r="38" spans="1:9">
      <c r="A38" s="1019"/>
      <c r="B38" s="1019"/>
    </row>
    <row r="39" spans="1:9">
      <c r="A39" s="1017" t="s">
        <v>818</v>
      </c>
      <c r="B39" s="1017" t="s">
        <v>820</v>
      </c>
    </row>
    <row r="40" spans="1:9">
      <c r="A40" s="1017"/>
      <c r="B40" s="1945" t="str">
        <f>项目基本情况!B5</f>
        <v>北京赫华恒瑞房地产开发有限公司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吴薇（注册号：1419970001)、郑燚（注册号：1120070131)</v>
      </c>
    </row>
    <row r="47" spans="1:9">
      <c r="A47" s="1017"/>
      <c r="B47" s="1017" t="str">
        <f>项目基本情况!K5</f>
        <v/>
      </c>
    </row>
    <row r="48" spans="1:9">
      <c r="A48" s="1017" t="s">
        <v>818</v>
      </c>
      <c r="B48" s="1017" t="s">
        <v>824</v>
      </c>
    </row>
    <row r="49" spans="2:2">
      <c r="B49" s="1945" t="str">
        <f>"康正预评字"&amp;项目基本情况!B2&amp;"号"</f>
        <v>康正预评字2018-1-0626号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40"/>
      <c r="C1" s="2555" t="s">
        <v>2420</v>
      </c>
      <c r="D1" s="242"/>
      <c r="E1" s="242"/>
      <c r="F1" s="242"/>
      <c r="G1" s="1382">
        <f>MATCH(B1,'数据-取费表'!A6:A16,0)+5</f>
        <v>8</v>
      </c>
      <c r="H1" s="1285" t="str">
        <f>IF(ISERROR(FIND("住宅",B1)),"非住宅","住宅")</f>
        <v>非住宅</v>
      </c>
    </row>
    <row r="2" spans="1:8" s="244" customFormat="1" ht="18" customHeight="1">
      <c r="A2" s="245" t="s">
        <v>2319</v>
      </c>
      <c r="B2" s="246">
        <f ca="1">ROUND(IF(D2="——",C52/10000,C52/10000-E2),0)</f>
        <v>4111</v>
      </c>
      <c r="C2" s="243" t="s">
        <v>2320</v>
      </c>
      <c r="D2" s="2549" t="s">
        <v>70</v>
      </c>
      <c r="E2" s="1443" t="e">
        <f ca="1">SUMIF(INDIRECT("'"&amp;G2&amp;"'"&amp;"!A:A"),"承租人权益价值",INDIRECT("'"&amp;G2&amp;"'"&amp;"!c:c"))</f>
        <v>#REF!</v>
      </c>
      <c r="F2" s="2550" t="s">
        <v>2320</v>
      </c>
      <c r="G2" s="2551"/>
    </row>
    <row r="3" spans="1:8" s="244" customFormat="1" ht="18" customHeight="1" thickBot="1">
      <c r="A3" s="247" t="s">
        <v>2321</v>
      </c>
      <c r="B3" s="248">
        <f ca="1">ROUND(B2*10000/(IF(B1="",'数据-汇总表'!E3,INDIRECT("'数据-取费表'!k"&amp;$G$1))),0)</f>
        <v>917</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7173086</v>
      </c>
      <c r="D5" s="255" t="s">
        <v>2326</v>
      </c>
      <c r="E5" s="256" t="s">
        <v>2327</v>
      </c>
      <c r="F5" s="256" t="s">
        <v>2328</v>
      </c>
      <c r="G5" s="257"/>
    </row>
    <row r="6" spans="1:8" s="258" customFormat="1" ht="13.5" customHeight="1">
      <c r="A6" s="952" t="s">
        <v>2329</v>
      </c>
      <c r="B6" s="259" t="s">
        <v>2330</v>
      </c>
      <c r="C6" s="260"/>
      <c r="D6" s="261"/>
      <c r="E6" s="262"/>
      <c r="F6" s="262"/>
      <c r="G6" s="263"/>
    </row>
    <row r="7" spans="1:8" s="258" customFormat="1" ht="13.5" customHeight="1">
      <c r="A7" s="952" t="s">
        <v>2331</v>
      </c>
      <c r="B7" s="259" t="s">
        <v>2332</v>
      </c>
      <c r="C7" s="264">
        <f>ROUND(C6*F7,0)</f>
        <v>0</v>
      </c>
      <c r="D7" s="264"/>
      <c r="E7" s="262"/>
      <c r="F7" s="265">
        <f>'数据-取费表'!B48+'数据-取费表'!B49</f>
        <v>3.0499999999999999E-2</v>
      </c>
      <c r="G7" s="263"/>
    </row>
    <row r="8" spans="1:8" s="267" customFormat="1">
      <c r="A8" s="952" t="s">
        <v>2333</v>
      </c>
      <c r="B8" s="259" t="s">
        <v>2334</v>
      </c>
      <c r="C8" s="264">
        <f ca="1">IF(G8="已包含在土地购买价格中",0,C9+C10)</f>
        <v>7173086</v>
      </c>
      <c r="D8" s="266"/>
      <c r="E8" s="264"/>
      <c r="F8" s="265"/>
      <c r="G8" s="2552"/>
    </row>
    <row r="9" spans="1:8" s="258" customFormat="1" ht="13.5" customHeight="1">
      <c r="A9" s="953" t="s">
        <v>800</v>
      </c>
      <c r="B9" s="268" t="s">
        <v>2335</v>
      </c>
      <c r="C9" s="269">
        <f ca="1">ROUND(D9*E9,0)</f>
        <v>7173086</v>
      </c>
      <c r="D9" s="1035">
        <f ca="1">IF(B1="",'数据-汇总表'!E5,IF(INDIRECT("'数据-取费表'!c"&amp;$G$1)="住宅",INDIRECT("'数据-取费表'!k"&amp;$G$1),0))</f>
        <v>44831.789999999994</v>
      </c>
      <c r="E9" s="269">
        <f>'数据-取费表'!B27</f>
        <v>160</v>
      </c>
      <c r="F9" s="265"/>
      <c r="G9" s="270"/>
    </row>
    <row r="10" spans="1:8" s="258" customFormat="1" ht="13.5" customHeight="1">
      <c r="A10" s="953" t="s">
        <v>801</v>
      </c>
      <c r="B10" s="268" t="s">
        <v>2337</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f ca="1">IF(G19="已包含在土地取得成本中","0",ROUND(D19*E19,0))</f>
        <v>8966358</v>
      </c>
      <c r="D19" s="1039">
        <f ca="1">D9+D10</f>
        <v>44831.789999999994</v>
      </c>
      <c r="E19" s="255">
        <f>'数据-取费表'!B31</f>
        <v>200</v>
      </c>
      <c r="F19" s="275"/>
      <c r="G19" s="2552"/>
    </row>
    <row r="20" spans="1:7" s="258" customFormat="1" ht="13.5" customHeight="1">
      <c r="A20" s="299" t="s">
        <v>2431</v>
      </c>
      <c r="B20" s="254" t="s">
        <v>2432</v>
      </c>
      <c r="C20" s="276">
        <f ca="1">ROUND((C5+C19)*F20,0)</f>
        <v>322789</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3">
        <f ca="1">ROUND(SUM(C23:C25),0)</f>
        <v>2004651</v>
      </c>
      <c r="D22" s="279">
        <f ca="1">C26</f>
        <v>1.1999999999999999E-3</v>
      </c>
      <c r="E22" s="280" t="s">
        <v>2436</v>
      </c>
      <c r="F22" s="281">
        <f ca="1">'数据-取费表'!B40</f>
        <v>4.7500000000000001E-2</v>
      </c>
      <c r="G22" s="278" t="str">
        <f>IF('数据-取费表'!B22&lt;=1,"单利计息","复利计息")</f>
        <v>复利计息</v>
      </c>
    </row>
    <row r="23" spans="1:7" s="258" customFormat="1" ht="13.5" customHeight="1">
      <c r="A23" s="954" t="s">
        <v>2329</v>
      </c>
      <c r="B23" s="259" t="s">
        <v>2440</v>
      </c>
      <c r="C23" s="1384">
        <f ca="1">ROUND(IF('数据-取费表'!B22&lt;=1,C5*F22*'数据-取费表'!B22,C5*(POWER((1+F22),'数据-取费表'!B22)-1)),0)</f>
        <v>882388</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1102985</v>
      </c>
      <c r="D24" s="282"/>
      <c r="E24" s="282"/>
      <c r="F24" s="283"/>
      <c r="G24" s="284" t="s">
        <v>2443</v>
      </c>
    </row>
    <row r="25" spans="1:7" s="258" customFormat="1" ht="24">
      <c r="A25" s="954" t="s">
        <v>2333</v>
      </c>
      <c r="B25" s="259" t="s">
        <v>2444</v>
      </c>
      <c r="C25" s="1384">
        <f ca="1">ROUND(IF('数据-取费表'!B22&lt;=1,C20*F22*'数据-取费表'!B22/2,C20*(POWER((1+F22),'数据-取费表'!B22/2)-1)),0)</f>
        <v>19278</v>
      </c>
      <c r="D25" s="282"/>
      <c r="E25" s="285"/>
      <c r="F25" s="283"/>
      <c r="G25" s="286" t="s">
        <v>2445</v>
      </c>
    </row>
    <row r="26" spans="1:7" s="258" customFormat="1">
      <c r="A26" s="954" t="s">
        <v>795</v>
      </c>
      <c r="B26" s="259" t="s">
        <v>2368</v>
      </c>
      <c r="C26" s="282">
        <f ca="1">ROUND(IF('数据-取费表'!B22&lt;=1,F21*F22*'数据-取费表'!B22/2,F21*(POWER((1+F22),'数据-取费表'!B22/2)-1)),4)</f>
        <v>1.1999999999999999E-3</v>
      </c>
      <c r="D26" s="282"/>
      <c r="E26" s="285"/>
      <c r="F26" s="283"/>
      <c r="G26" s="287"/>
    </row>
    <row r="27" spans="1:7" s="258" customFormat="1" ht="24.75">
      <c r="A27" s="299" t="s">
        <v>2369</v>
      </c>
      <c r="B27" s="288" t="s">
        <v>2370</v>
      </c>
      <c r="C27" s="289">
        <f ca="1">C28</f>
        <v>3292447</v>
      </c>
      <c r="D27" s="279">
        <f ca="1">C29</f>
        <v>4.0000000000000001E-3</v>
      </c>
      <c r="E27" s="280" t="s">
        <v>2371</v>
      </c>
      <c r="F27" s="290">
        <f ca="1">IF(B1="",'数据-取费表'!Q16,INDIRECT("'数据-取费表'!q"&amp;$G$1))</f>
        <v>0.2</v>
      </c>
      <c r="G27" s="291" t="s">
        <v>2372</v>
      </c>
    </row>
    <row r="28" spans="1:7" s="258" customFormat="1" ht="13.5" customHeight="1">
      <c r="A28" s="954" t="s">
        <v>791</v>
      </c>
      <c r="B28" s="292" t="s">
        <v>2373</v>
      </c>
      <c r="C28" s="293">
        <f ca="1">ROUND((C5+C19+C20)*F27,0)</f>
        <v>3292447</v>
      </c>
      <c r="D28" s="279"/>
      <c r="E28" s="280"/>
      <c r="F28" s="290"/>
      <c r="G28" s="291"/>
    </row>
    <row r="29" spans="1:7" s="258" customFormat="1" ht="13.5" customHeight="1">
      <c r="A29" s="954" t="s">
        <v>792</v>
      </c>
      <c r="B29" s="292" t="s">
        <v>2374</v>
      </c>
      <c r="C29" s="282">
        <f ca="1">ROUND(C21*F27,4)</f>
        <v>4.0000000000000001E-3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23612947</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13451205</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4095750</v>
      </c>
      <c r="D34" s="261"/>
      <c r="E34" s="264"/>
      <c r="F34" s="301"/>
      <c r="G34" s="263"/>
    </row>
    <row r="35" spans="1:7" ht="13.5" customHeight="1">
      <c r="A35" s="954" t="s">
        <v>796</v>
      </c>
      <c r="B35" s="259" t="s">
        <v>2384</v>
      </c>
      <c r="C35" s="264">
        <f ca="1">ROUND(C34*F35,0)</f>
        <v>122873</v>
      </c>
      <c r="D35" s="264"/>
      <c r="E35" s="264"/>
      <c r="F35" s="303">
        <f>'数据-取费表'!B33</f>
        <v>0.03</v>
      </c>
      <c r="G35" s="263" t="s">
        <v>2385</v>
      </c>
    </row>
    <row r="36" spans="1:7" ht="24">
      <c r="A36" s="954" t="s">
        <v>797</v>
      </c>
      <c r="B36" s="259" t="s">
        <v>2386</v>
      </c>
      <c r="C36" s="264">
        <f ca="1">ROUND(IF(B1="",SUM('数据-取费表'!AP6:AP13)*F36,IF(INDIRECT("'数据-取费表'!c"&amp;$G$1)="住宅",INDIRECT("'数据-取费表'!k"&amp;$G$1)*INDIRECT("'数据-取费表'!l"&amp;$G$1)*F36,0)),0)</f>
        <v>204788</v>
      </c>
      <c r="D36" s="264"/>
      <c r="E36" s="264"/>
      <c r="F36" s="303">
        <f>'数据-取费表'!B34</f>
        <v>0.05</v>
      </c>
      <c r="G36" s="304" t="s">
        <v>2387</v>
      </c>
    </row>
    <row r="37" spans="1:7" s="302" customFormat="1" ht="13.5" customHeight="1">
      <c r="A37" s="954" t="s">
        <v>798</v>
      </c>
      <c r="B37" s="259" t="s">
        <v>2388</v>
      </c>
      <c r="C37" s="293">
        <f ca="1">ROUND(E37*D37,0)</f>
        <v>8966358</v>
      </c>
      <c r="D37" s="261">
        <f ca="1">D19</f>
        <v>44831.789999999994</v>
      </c>
      <c r="E37" s="293">
        <f>'数据-取费表'!B35</f>
        <v>200</v>
      </c>
      <c r="F37" s="303"/>
      <c r="G37" s="305"/>
    </row>
    <row r="38" spans="1:7" ht="13.5" customHeight="1">
      <c r="A38" s="954" t="s">
        <v>799</v>
      </c>
      <c r="B38" s="259" t="s">
        <v>2390</v>
      </c>
      <c r="C38" s="264">
        <f ca="1">ROUND(C34*F38,0)</f>
        <v>61436</v>
      </c>
      <c r="D38" s="264"/>
      <c r="E38" s="264"/>
      <c r="F38" s="303">
        <f>'数据-取费表'!B36</f>
        <v>1.4999999999999999E-2</v>
      </c>
      <c r="G38" s="263" t="s">
        <v>2385</v>
      </c>
    </row>
    <row r="39" spans="1:7" s="258" customFormat="1" ht="13.5" customHeight="1">
      <c r="A39" s="299" t="s">
        <v>2391</v>
      </c>
      <c r="B39" s="254" t="s">
        <v>2392</v>
      </c>
      <c r="C39" s="276">
        <f ca="1">ROUND(C33*F20,0)</f>
        <v>269024</v>
      </c>
      <c r="D39" s="276"/>
      <c r="E39" s="276"/>
      <c r="F39" s="277"/>
      <c r="G39" s="278" t="s">
        <v>2393</v>
      </c>
    </row>
    <row r="40" spans="1:7" s="258" customFormat="1" ht="13.5" customHeight="1">
      <c r="A40" s="299" t="s">
        <v>2394</v>
      </c>
      <c r="B40" s="254" t="s">
        <v>2395</v>
      </c>
      <c r="C40" s="1731">
        <f>F21</f>
        <v>0.02</v>
      </c>
      <c r="D40" s="280" t="s">
        <v>2396</v>
      </c>
      <c r="E40" s="276"/>
      <c r="F40" s="277"/>
      <c r="G40" s="278" t="s">
        <v>2397</v>
      </c>
    </row>
    <row r="41" spans="1:7" s="258" customFormat="1" ht="13.5" customHeight="1">
      <c r="A41" s="299" t="s">
        <v>2398</v>
      </c>
      <c r="B41" s="254" t="s">
        <v>2399</v>
      </c>
      <c r="C41" s="276">
        <f ca="1">ROUND(SUM(C42:C43),0)</f>
        <v>819419</v>
      </c>
      <c r="D41" s="279">
        <f ca="1">C44</f>
        <v>1.1999999999999999E-3</v>
      </c>
      <c r="E41" s="280" t="s">
        <v>2396</v>
      </c>
      <c r="F41" s="281"/>
      <c r="G41" s="278" t="str">
        <f>IF('数据-取费表'!B22&lt;=1,"单利计息","复利计息")</f>
        <v>复利计息</v>
      </c>
    </row>
    <row r="42" spans="1:7" ht="13.5" customHeight="1">
      <c r="A42" s="954" t="s">
        <v>791</v>
      </c>
      <c r="B42" s="259" t="s">
        <v>2400</v>
      </c>
      <c r="C42" s="282">
        <f ca="1">ROUND(IF('数据-取费表'!B22&lt;=1,C33*F22*'数据-取费表'!B20/2,C33*(POWER((1+F22),'数据-取费表'!B20/2)-1)),0)</f>
        <v>803352</v>
      </c>
      <c r="D42" s="282"/>
      <c r="E42" s="282"/>
      <c r="F42" s="283"/>
      <c r="G42" s="3164" t="s">
        <v>2448</v>
      </c>
    </row>
    <row r="43" spans="1:7" ht="13.5" customHeight="1">
      <c r="A43" s="954" t="s">
        <v>792</v>
      </c>
      <c r="B43" s="259" t="s">
        <v>2402</v>
      </c>
      <c r="C43" s="282">
        <f ca="1">ROUND(IF('数据-取费表'!B22&lt;=1,C39*F22*'数据-取费表'!B20/2,C39*(POWER((1+F22),'数据-取费表'!B20/2)-1)),0)</f>
        <v>16067</v>
      </c>
      <c r="D43" s="282"/>
      <c r="E43" s="282"/>
      <c r="F43" s="283"/>
      <c r="G43" s="3165"/>
    </row>
    <row r="44" spans="1:7" ht="13.5" customHeight="1">
      <c r="A44" s="954" t="s">
        <v>793</v>
      </c>
      <c r="B44" s="259" t="s">
        <v>2403</v>
      </c>
      <c r="C44" s="282">
        <f ca="1">ROUND(IF('数据-取费表'!B22&lt;=1,C40*F22*'数据-取费表'!B20/2,C40*(POWER((1+F22),'数据-取费表'!B20/2)-1)),4)</f>
        <v>1.1999999999999999E-3</v>
      </c>
      <c r="D44" s="282"/>
      <c r="E44" s="282"/>
      <c r="F44" s="283"/>
      <c r="G44" s="3166"/>
    </row>
    <row r="45" spans="1:7" s="258" customFormat="1" ht="13.5" customHeight="1">
      <c r="A45" s="299" t="s">
        <v>2404</v>
      </c>
      <c r="B45" s="288" t="s">
        <v>2370</v>
      </c>
      <c r="C45" s="289">
        <f ca="1">C46</f>
        <v>2744046</v>
      </c>
      <c r="D45" s="279">
        <f ca="1">C47</f>
        <v>4.0000000000000001E-3</v>
      </c>
      <c r="E45" s="280" t="s">
        <v>2396</v>
      </c>
      <c r="F45" s="290"/>
      <c r="G45" s="291" t="s">
        <v>2405</v>
      </c>
    </row>
    <row r="46" spans="1:7" s="258" customFormat="1" ht="13.5" customHeight="1">
      <c r="A46" s="954" t="s">
        <v>791</v>
      </c>
      <c r="B46" s="292" t="s">
        <v>2406</v>
      </c>
      <c r="C46" s="293">
        <f ca="1">ROUND((C33+C39)*F27,0)</f>
        <v>2744046</v>
      </c>
      <c r="D46" s="307"/>
      <c r="E46" s="280"/>
      <c r="F46" s="290"/>
      <c r="G46" s="291"/>
    </row>
    <row r="47" spans="1:7" s="258" customFormat="1" ht="13.5" customHeight="1">
      <c r="A47" s="954" t="s">
        <v>792</v>
      </c>
      <c r="B47" s="292" t="s">
        <v>2407</v>
      </c>
      <c r="C47" s="282">
        <f ca="1">ROUND(C40*F27,4)</f>
        <v>4.0000000000000001E-3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18756043</v>
      </c>
      <c r="D49" s="276"/>
      <c r="E49" s="276"/>
      <c r="F49" s="308"/>
      <c r="G49" s="278" t="s">
        <v>2411</v>
      </c>
    </row>
    <row r="50" spans="1:7" s="302" customFormat="1">
      <c r="A50" s="299" t="s">
        <v>2412</v>
      </c>
      <c r="B50" s="254" t="s">
        <v>2413</v>
      </c>
      <c r="C50" s="276"/>
      <c r="D50" s="276"/>
      <c r="E50" s="276"/>
      <c r="F50" s="308">
        <f>IF('数据-取费表'!B24=0,'数据-取费表'!N16,1)</f>
        <v>0.93300000000000005</v>
      </c>
      <c r="G50" s="291"/>
    </row>
    <row r="51" spans="1:7" ht="16.5" customHeight="1">
      <c r="A51" s="299" t="s">
        <v>2415</v>
      </c>
      <c r="B51" s="254" t="s">
        <v>2450</v>
      </c>
      <c r="C51" s="276">
        <f ca="1">ROUND(C49*F50,0)</f>
        <v>17499388</v>
      </c>
      <c r="D51" s="276"/>
      <c r="E51" s="276"/>
      <c r="F51" s="308"/>
      <c r="G51" s="278" t="s">
        <v>2417</v>
      </c>
    </row>
    <row r="52" spans="1:7" s="252" customFormat="1" ht="16.5" thickBot="1">
      <c r="A52" s="309" t="s">
        <v>2418</v>
      </c>
      <c r="B52" s="310"/>
      <c r="C52" s="311">
        <f ca="1">C31+C51</f>
        <v>41112335</v>
      </c>
      <c r="D52" s="310"/>
      <c r="E52" s="310"/>
      <c r="F52" s="310"/>
      <c r="G52" s="312"/>
    </row>
    <row r="55" spans="1:7" ht="15">
      <c r="B55" s="314" t="s">
        <v>2419</v>
      </c>
      <c r="C55" s="315"/>
    </row>
    <row r="56" spans="1:7">
      <c r="B56" s="317" t="s">
        <v>1513</v>
      </c>
      <c r="C56" s="319">
        <f ca="1">1-C57</f>
        <v>0.57400000000000007</v>
      </c>
    </row>
    <row r="57" spans="1:7">
      <c r="B57" s="317" t="s">
        <v>1514</v>
      </c>
      <c r="C57" s="318">
        <f ca="1">ROUND(C51/C52,3)</f>
        <v>0.42599999999999999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2451</v>
      </c>
      <c r="B1" s="1584"/>
      <c r="C1" s="1585"/>
      <c r="D1" s="1583"/>
      <c r="E1" s="320"/>
      <c r="F1" s="320"/>
      <c r="G1" s="1584"/>
      <c r="H1" s="320"/>
      <c r="I1" s="320"/>
      <c r="J1" s="320"/>
      <c r="K1" s="320">
        <f>MATCH(C1,'数据-取费表'!A6:A16,0)+5</f>
        <v>8</v>
      </c>
    </row>
    <row r="2" spans="1:33" ht="18" customHeight="1">
      <c r="A2" s="245" t="s">
        <v>2319</v>
      </c>
      <c r="B2" s="248">
        <f ca="1">C32</f>
        <v>-852</v>
      </c>
      <c r="C2" s="320" t="s">
        <v>2452</v>
      </c>
      <c r="D2" s="320"/>
      <c r="E2" s="320"/>
      <c r="F2" s="320"/>
      <c r="G2" s="320"/>
      <c r="H2" s="320"/>
      <c r="I2" s="320"/>
      <c r="J2" s="320"/>
      <c r="K2" s="320"/>
    </row>
    <row r="3" spans="1:33" ht="18" customHeight="1" thickBot="1">
      <c r="A3" s="247" t="s">
        <v>2321</v>
      </c>
      <c r="B3" s="248">
        <f ca="1">ROUND(B2*10000/IF(C1="",'数据-汇总表'!E3,INDIRECT("'数据-取费表'!K"&amp;$K$1)),0)</f>
        <v>-190</v>
      </c>
      <c r="C3" s="320" t="s">
        <v>2453</v>
      </c>
      <c r="D3" s="320"/>
      <c r="E3" s="320"/>
      <c r="F3" s="320"/>
      <c r="G3" s="320"/>
      <c r="H3" s="320"/>
      <c r="I3" s="320"/>
      <c r="J3" s="320"/>
      <c r="K3" s="320"/>
    </row>
    <row r="4" spans="1:33" s="959" customFormat="1" ht="16.5" customHeight="1">
      <c r="A4" s="956" t="s">
        <v>2454</v>
      </c>
      <c r="B4" s="957"/>
      <c r="C4" s="999">
        <f>SUM(C8:K8)</f>
        <v>0</v>
      </c>
      <c r="D4" s="957"/>
      <c r="E4" s="957"/>
      <c r="F4" s="957"/>
      <c r="G4" s="957"/>
      <c r="H4" s="957"/>
      <c r="I4" s="957"/>
      <c r="J4" s="957"/>
      <c r="K4" s="958"/>
    </row>
    <row r="5" spans="1:33" s="963" customFormat="1" ht="24.75">
      <c r="A5" s="960" t="s">
        <v>2455</v>
      </c>
      <c r="B5" s="961" t="s">
        <v>2456</v>
      </c>
      <c r="C5" s="2556" t="s">
        <v>2457</v>
      </c>
      <c r="D5" s="2556" t="s">
        <v>2458</v>
      </c>
      <c r="E5" s="2556" t="s">
        <v>2459</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2463</v>
      </c>
      <c r="B8" s="177"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1334</v>
      </c>
      <c r="B11" s="975" t="s">
        <v>2472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2473</v>
      </c>
      <c r="C12" s="24">
        <f ca="1">ROUND(C11*F12,0)</f>
        <v>0</v>
      </c>
      <c r="D12" s="976"/>
      <c r="E12" s="375"/>
      <c r="F12" s="979">
        <f>'数据-取费表'!B33</f>
        <v>0.03</v>
      </c>
      <c r="G12" s="8" t="s">
        <v>2474</v>
      </c>
      <c r="H12" s="971"/>
      <c r="I12" s="971"/>
      <c r="J12" s="971"/>
      <c r="K12" s="972"/>
    </row>
    <row r="13" spans="1:33" s="978" customFormat="1" ht="13.5" customHeight="1">
      <c r="A13" s="974" t="s">
        <v>1336</v>
      </c>
      <c r="B13" s="975" t="s">
        <v>2475</v>
      </c>
      <c r="C13" s="24">
        <f ca="1">ROUND(IF(C1="",SUMIF('数据-取费表'!C:C,"住宅",'数据-取费表'!P:P)*F13,IF(INDIRECT("'数据-取费表'!c"&amp;$K$1)="住宅",INDIRECT("'数据-取费表'!P"&amp;$K$1)*F13,0)),0)</f>
        <v>0</v>
      </c>
      <c r="D13" s="1036"/>
      <c r="E13" s="375"/>
      <c r="F13" s="979">
        <f>'数据-取费表'!B34</f>
        <v>0.05</v>
      </c>
      <c r="G13" s="8" t="s">
        <v>2476</v>
      </c>
      <c r="H13" s="971"/>
      <c r="I13" s="971"/>
      <c r="J13" s="971"/>
      <c r="K13" s="972"/>
    </row>
    <row r="14" spans="1:33" s="980" customFormat="1" ht="13.5" customHeight="1">
      <c r="A14" s="974" t="s">
        <v>1337</v>
      </c>
      <c r="B14" s="975" t="s">
        <v>2477</v>
      </c>
      <c r="C14" s="24">
        <f ca="1">ROUND(D14*E14*F11/10000,0)</f>
        <v>0</v>
      </c>
      <c r="D14" s="1036">
        <f ca="1">IF(C1="",'数据-汇总表'!E3,INDIRECT("'数据-取费表'!K"&amp;$K$1)+INDIRECT("'数据-取费表'!S"&amp;$K$1))</f>
        <v>44831.789999999994</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44831.789999999994</v>
      </c>
      <c r="E17" s="24">
        <f>'数据-取费表'!B32</f>
        <v>0</v>
      </c>
      <c r="F17" s="981"/>
      <c r="G17" s="140" t="s">
        <v>2483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2484</v>
      </c>
      <c r="C18" s="24">
        <f ca="1">C19+C20-IF(C1="",'数据-取费表'!B29,IF(G18="已全部缴纳",C19+C20,H18))</f>
        <v>717</v>
      </c>
      <c r="D18" s="1036"/>
      <c r="E18" s="24"/>
      <c r="F18" s="979"/>
      <c r="G18" s="2558"/>
      <c r="H18" s="1580"/>
      <c r="I18" s="2559" t="s">
        <v>2485</v>
      </c>
      <c r="J18" s="982"/>
      <c r="K18" s="983"/>
    </row>
    <row r="19" spans="1:33" s="978" customFormat="1" ht="13.5" customHeight="1">
      <c r="A19" s="974" t="s">
        <v>805</v>
      </c>
      <c r="B19" s="975" t="s">
        <v>2486</v>
      </c>
      <c r="C19" s="24">
        <f ca="1">ROUND(D19*E19/10000,0)</f>
        <v>717</v>
      </c>
      <c r="D19" s="1036">
        <f ca="1">IF(C1="",'数据-汇总表'!E5,IF(INDIRECT("'数据-取费表'!c"&amp;$K$1)="住宅",INDIRECT("'数据-取费表'!k"&amp;$K$1),0))</f>
        <v>44831.789999999994</v>
      </c>
      <c r="E19" s="24">
        <f>'数据-取费表'!B27</f>
        <v>160</v>
      </c>
      <c r="F19" s="979"/>
      <c r="G19" s="15"/>
      <c r="H19" s="1582"/>
      <c r="I19" s="984"/>
      <c r="J19" s="984"/>
      <c r="K19" s="985"/>
    </row>
    <row r="20" spans="1:33" s="978" customFormat="1" ht="13.5" customHeight="1">
      <c r="A20" s="974" t="s">
        <v>806</v>
      </c>
      <c r="B20" s="975" t="s">
        <v>2487</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802</v>
      </c>
      <c r="B21" s="988" t="s">
        <v>2488</v>
      </c>
      <c r="C21" s="989">
        <f ca="1">C16+C17+C18</f>
        <v>717</v>
      </c>
      <c r="D21" s="990"/>
      <c r="E21" s="325"/>
      <c r="F21" s="325"/>
      <c r="G21" s="140" t="s">
        <v>2489</v>
      </c>
      <c r="H21" s="982"/>
      <c r="I21" s="982"/>
      <c r="J21" s="982"/>
      <c r="K21" s="983"/>
    </row>
    <row r="22" spans="1:33" s="978" customFormat="1" ht="13.5" customHeight="1">
      <c r="A22" s="964" t="s">
        <v>2461</v>
      </c>
      <c r="B22" s="988" t="s">
        <v>2490</v>
      </c>
      <c r="C22" s="989">
        <f ca="1">ROUND(C21*F22,0)</f>
        <v>14</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0</v>
      </c>
      <c r="D23" s="325"/>
      <c r="E23" s="325"/>
      <c r="F23" s="991">
        <f>'数据-取费表'!B38</f>
        <v>0.02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2501</v>
      </c>
      <c r="B28" s="2561" t="s">
        <v>2502</v>
      </c>
      <c r="C28" s="331">
        <f ca="1">C30</f>
        <v>146</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2503</v>
      </c>
      <c r="C29" s="328">
        <f ca="1">ROUND((1+C24)*F28*'数据-取费表'!B24/'数据-取费表'!B20,4)</f>
        <v>0</v>
      </c>
      <c r="D29" s="328"/>
      <c r="E29" s="329"/>
      <c r="F29" s="334"/>
      <c r="G29" s="140" t="s">
        <v>2504</v>
      </c>
      <c r="H29" s="982"/>
      <c r="I29" s="982"/>
      <c r="J29" s="982"/>
      <c r="K29" s="983"/>
    </row>
    <row r="30" spans="1:33" s="335" customFormat="1" ht="13.5" customHeight="1">
      <c r="A30" s="974" t="s">
        <v>804</v>
      </c>
      <c r="B30" s="997" t="s">
        <v>2505</v>
      </c>
      <c r="C30" s="336">
        <f ca="1">ROUND((C21+C22+C23)*F28,0)</f>
        <v>146</v>
      </c>
      <c r="D30" s="328"/>
      <c r="E30" s="329"/>
      <c r="F30" s="334"/>
      <c r="G30" s="140"/>
      <c r="H30" s="982"/>
      <c r="I30" s="982"/>
      <c r="J30" s="982"/>
      <c r="K30" s="983"/>
    </row>
    <row r="31" spans="1:33" s="978" customFormat="1" ht="13.5" customHeight="1" thickBot="1">
      <c r="A31" s="2562" t="s">
        <v>2506</v>
      </c>
      <c r="B31" s="1008" t="s">
        <v>2507</v>
      </c>
      <c r="C31" s="1009">
        <f>ROUND(C4*F31/(1+'数据-取费表'!C42),0)</f>
        <v>0</v>
      </c>
      <c r="D31" s="1010"/>
      <c r="E31" s="1011"/>
      <c r="F31" s="1012">
        <f>'数据-取费表'!B41</f>
        <v>5.6000000000000001E-2</v>
      </c>
      <c r="G31" s="1013" t="s">
        <v>2508</v>
      </c>
      <c r="H31" s="1014"/>
      <c r="I31" s="1014"/>
      <c r="J31" s="1014"/>
      <c r="K31" s="1015"/>
    </row>
    <row r="32" spans="1:33" s="973" customFormat="1" ht="13.5" customHeight="1" thickBot="1">
      <c r="A32" s="1003" t="s">
        <v>2509</v>
      </c>
      <c r="B32" s="1004"/>
      <c r="C32" s="1005">
        <f ca="1">ROUND((C4-C21-C22-C23-C25-C28-C31)/(1+C24+D25+D28),0)</f>
        <v>-852</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81" sqref="R81"/>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2796</v>
      </c>
      <c r="B1" s="241"/>
      <c r="C1" s="245" t="s">
        <v>2797</v>
      </c>
      <c r="D1" s="388">
        <f>SUM(D29:D30,D33:D39)</f>
        <v>0</v>
      </c>
      <c r="E1" s="2717"/>
      <c r="F1" s="2717"/>
      <c r="G1" s="2717"/>
      <c r="H1" s="2717"/>
      <c r="I1" s="2717"/>
      <c r="J1" s="2717"/>
      <c r="K1" s="1373"/>
      <c r="L1" s="2718" t="s">
        <v>2798</v>
      </c>
      <c r="M1" s="1083">
        <f>SUMPRODUCT((区片价!B5:B9=I2)*(区片价!C3:F3=E2)*(区片价!C5:F9))</f>
        <v>0</v>
      </c>
      <c r="N1" s="1086">
        <f>SUMPRODUCT((因素修正幅度!B5:B9=I2)*(因素修正幅度!C3:F3=E2)*(因素修正幅度!C5:F9))</f>
        <v>0</v>
      </c>
      <c r="O1" s="2719"/>
      <c r="P1" s="2719"/>
      <c r="Q1" s="1373"/>
      <c r="R1" s="1605" t="s">
        <v>2799</v>
      </c>
      <c r="S1" s="1605" t="s">
        <v>2800</v>
      </c>
      <c r="T1" s="1605" t="s">
        <v>2801</v>
      </c>
      <c r="U1" s="1605" t="s">
        <v>2802</v>
      </c>
      <c r="V1" s="1605" t="s">
        <v>2803</v>
      </c>
      <c r="W1" s="1609"/>
      <c r="X1" s="1609"/>
      <c r="Y1" s="1609"/>
      <c r="Z1" s="1609"/>
      <c r="AA1" s="1609"/>
      <c r="AB1" s="1609"/>
      <c r="AC1" s="1610"/>
      <c r="AD1" s="1611"/>
      <c r="AE1" s="1611"/>
      <c r="AF1" s="1611"/>
      <c r="AG1" s="1611"/>
      <c r="AH1" s="1611"/>
      <c r="AI1" s="1611"/>
      <c r="AJ1" s="1612"/>
    </row>
    <row r="2" spans="1:36" ht="15.75">
      <c r="A2" s="245" t="s">
        <v>2804</v>
      </c>
      <c r="B2" s="248">
        <f ca="1">C26</f>
        <v>0</v>
      </c>
      <c r="C2" s="2721" t="s">
        <v>2805</v>
      </c>
      <c r="D2" s="2722" t="s">
        <v>2806</v>
      </c>
      <c r="E2" s="2723" t="s">
        <v>3047</v>
      </c>
      <c r="F2" s="2722" t="s">
        <v>2807</v>
      </c>
      <c r="G2" s="2724" t="str">
        <f>IF(E2="商业",项目基本情况!B37,IF(E2="办公",项目基本情况!C37,IF(E2="住宅",项目基本情况!D37,项目基本情况!E37)))</f>
        <v>三级</v>
      </c>
      <c r="H2" s="2722" t="s">
        <v>2808</v>
      </c>
      <c r="I2" s="2724" t="str">
        <f>IF(E2="商业",项目基本情况!B38,IF(E2="办公",项目基本情况!C38,IF(E2="住宅",项目基本情况!D38,项目基本情况!E38)))</f>
        <v>Ⅲ—06</v>
      </c>
      <c r="J2" s="2725"/>
      <c r="K2" s="1373"/>
      <c r="L2" s="2726" t="s">
        <v>2809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56510</v>
      </c>
      <c r="U2" s="1606"/>
      <c r="V2" s="1605">
        <f ca="1">ROUND(T2*U2/10000,0)</f>
        <v>0</v>
      </c>
      <c r="W2" s="1609"/>
      <c r="X2" s="1609"/>
      <c r="Y2" s="1609"/>
      <c r="Z2" s="1609"/>
      <c r="AA2" s="1609"/>
      <c r="AB2" s="1609"/>
      <c r="AC2" s="1610"/>
      <c r="AD2" s="1611"/>
      <c r="AE2" s="1611"/>
      <c r="AF2" s="1611"/>
      <c r="AG2" s="1611"/>
      <c r="AH2" s="1611"/>
      <c r="AI2" s="1611"/>
      <c r="AJ2" s="1612"/>
    </row>
    <row r="3" spans="1:36" ht="25.5">
      <c r="A3" s="247" t="s">
        <v>2810</v>
      </c>
      <c r="B3" s="248" t="e">
        <f ca="1">ROUND(B2*10000/D1,0)</f>
        <v>#DIV/0!</v>
      </c>
      <c r="C3" s="2721" t="s">
        <v>2811</v>
      </c>
      <c r="D3" s="2722" t="s">
        <v>2812</v>
      </c>
      <c r="E3" s="2727" t="s">
        <v>3774</v>
      </c>
      <c r="F3" s="2728" t="s">
        <v>2813</v>
      </c>
      <c r="G3" s="916">
        <f>IF(F3="宗地容积率",'数据-汇总表'!I4,IF(F3="估价对象容积率",'数据-汇总表'!I6,'数据-汇总表'!I7))</f>
        <v>3.71</v>
      </c>
      <c r="H3" s="198" t="s">
        <v>2814</v>
      </c>
      <c r="I3" s="947"/>
      <c r="J3" s="2725" t="s">
        <v>2815</v>
      </c>
      <c r="K3" s="1373"/>
      <c r="L3" s="2726" t="s">
        <v>2816</v>
      </c>
      <c r="M3" s="1084">
        <f>SUMPRODUCT((区片价!B29:B48=I2)*(区片价!C3:F3=E2)*(区片价!C29:F48))</f>
        <v>18830</v>
      </c>
      <c r="N3" s="1086">
        <f>SUMPRODUCT((因素修正幅度!B29:B48=I2)*(因素修正幅度!C3:F3=E2)*(因素修正幅度!C29:F48))</f>
        <v>9.7000000000000003E-2</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40563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81"/>
      <c r="B4" s="3182"/>
      <c r="C4" s="3182"/>
      <c r="D4" s="3183"/>
      <c r="E4" s="3183"/>
      <c r="F4" s="3183"/>
      <c r="G4" s="3183"/>
      <c r="H4" s="3183"/>
      <c r="I4" s="3183"/>
      <c r="J4" s="3184"/>
      <c r="K4" s="1373"/>
      <c r="L4" s="2726" t="s">
        <v>2817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32725</v>
      </c>
      <c r="U4" s="1606"/>
      <c r="V4" s="1605">
        <f t="shared" ca="1" si="1"/>
        <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2818</v>
      </c>
      <c r="C5" s="917">
        <f>ROUND(IF(E2="商业",IF(F16="增加",C6*C7+C16,C6*C7-C16),IF(E2="住宅",IF(F16="增加",C6*C12+C16,C6*C12-C16),IF(F16="增加",C6+C16,C6-C16))),0)</f>
        <v>18830</v>
      </c>
      <c r="D5" s="1790">
        <f>ROUND(IF(E2="商业",IF(F16="增加",C6+C16,C6-C16)),0)</f>
        <v>0</v>
      </c>
      <c r="E5" s="2731"/>
      <c r="F5" s="2731"/>
      <c r="G5" s="2732"/>
      <c r="H5" s="2732"/>
      <c r="I5" s="2732"/>
      <c r="J5" s="2733"/>
      <c r="K5" s="2734"/>
      <c r="L5" s="2726" t="s">
        <v>2819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26257</v>
      </c>
      <c r="U5" s="1606"/>
      <c r="V5" s="1605">
        <f t="shared" ca="1" si="1"/>
        <v>0</v>
      </c>
      <c r="W5" s="1609"/>
      <c r="X5" s="1609"/>
      <c r="Y5" s="1609"/>
      <c r="Z5" s="1609"/>
      <c r="AA5" s="1609"/>
      <c r="AB5" s="1609"/>
      <c r="AC5" s="2735"/>
      <c r="AD5" s="2736"/>
      <c r="AE5" s="2736"/>
      <c r="AF5" s="2736"/>
      <c r="AG5" s="2736"/>
      <c r="AH5" s="2736"/>
      <c r="AI5" s="2736"/>
      <c r="AJ5" s="2737"/>
    </row>
    <row r="6" spans="1:36" ht="15.75" thickBot="1">
      <c r="A6" s="2739" t="s">
        <v>2820</v>
      </c>
      <c r="B6" s="2740" t="s">
        <v>2821</v>
      </c>
      <c r="C6" s="918">
        <f>SUMIF(L1:L12,G2,M1:M12)</f>
        <v>18830</v>
      </c>
      <c r="D6" s="2741" t="s">
        <v>2822</v>
      </c>
      <c r="E6" s="2742"/>
      <c r="F6" s="2742"/>
      <c r="G6" s="2743"/>
      <c r="H6" s="2743"/>
      <c r="I6" s="2743"/>
      <c r="J6" s="2744"/>
      <c r="K6" s="1845"/>
      <c r="L6" s="2726" t="s">
        <v>2823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22360</v>
      </c>
      <c r="U6" s="1606"/>
      <c r="V6" s="1605">
        <f t="shared" ca="1" si="1"/>
        <v>0</v>
      </c>
      <c r="W6" s="1609"/>
      <c r="X6" s="1609"/>
      <c r="Y6" s="1609"/>
      <c r="Z6" s="1609"/>
      <c r="AA6" s="1609"/>
      <c r="AB6" s="1609"/>
      <c r="AC6" s="2735"/>
      <c r="AD6" s="2736"/>
      <c r="AE6" s="2736"/>
      <c r="AF6" s="2736"/>
      <c r="AG6" s="2736"/>
      <c r="AH6" s="2736"/>
      <c r="AI6" s="2736"/>
      <c r="AJ6" s="2737"/>
    </row>
    <row r="7" spans="1:36" ht="24">
      <c r="A7" s="3167" t="str">
        <f>IF(E2="商业",IF(C8="不临58条商业街","",2),"")</f>
        <v/>
      </c>
      <c r="B7" s="2745" t="s">
        <v>2824</v>
      </c>
      <c r="C7" s="919" t="e">
        <f>IF(C8="不临58条商业街",1,ROUND(1+(1.6*E8+1.2*E9+0.8*E10+0.4*E11)*C9,4))</f>
        <v>#DIV/0!</v>
      </c>
      <c r="D7" s="2746" t="s">
        <v>2825</v>
      </c>
      <c r="E7" s="948"/>
      <c r="F7" s="2747"/>
      <c r="G7" s="2748"/>
      <c r="H7" s="2748"/>
      <c r="I7" s="2748"/>
      <c r="J7" s="2749"/>
      <c r="K7" s="1845"/>
      <c r="L7" s="2726" t="s">
        <v>2826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19663</v>
      </c>
      <c r="U7" s="1606"/>
      <c r="V7" s="1605">
        <f t="shared" ca="1" si="1"/>
        <v>0</v>
      </c>
      <c r="W7" s="1819" t="s">
        <v>2827</v>
      </c>
      <c r="X7" s="1607" t="str">
        <f>G2</f>
        <v>三级</v>
      </c>
      <c r="Y7" s="1607" t="s">
        <v>2828</v>
      </c>
      <c r="Z7" s="1608">
        <f>G3</f>
        <v>3.71</v>
      </c>
      <c r="AA7" s="1609"/>
      <c r="AB7" s="1609"/>
      <c r="AC7" s="1610"/>
      <c r="AD7" s="1611"/>
      <c r="AE7" s="1611"/>
      <c r="AF7" s="1611"/>
      <c r="AG7" s="1611"/>
      <c r="AH7" s="1611"/>
      <c r="AI7" s="1611"/>
      <c r="AJ7" s="1612"/>
    </row>
    <row r="8" spans="1:36" ht="15">
      <c r="A8" s="3168"/>
      <c r="B8" s="198" t="s">
        <v>2829</v>
      </c>
      <c r="C8" s="2750"/>
      <c r="D8" s="920" t="s">
        <v>139</v>
      </c>
      <c r="E8" s="921" t="e">
        <f>ROUND(C11/E7,4)</f>
        <v>#DIV/0!</v>
      </c>
      <c r="F8" s="2751" t="s">
        <v>2830</v>
      </c>
      <c r="G8" s="2752"/>
      <c r="H8" s="2752"/>
      <c r="I8" s="2752"/>
      <c r="J8" s="2753"/>
      <c r="K8" s="1373"/>
      <c r="L8" s="2726" t="s">
        <v>2831</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78" t="s">
        <v>2832</v>
      </c>
      <c r="X8" s="3179"/>
      <c r="Y8" s="1613" t="s">
        <v>2833</v>
      </c>
      <c r="Z8" s="1613" t="s">
        <v>2834</v>
      </c>
      <c r="AA8" s="1613" t="s">
        <v>2835</v>
      </c>
      <c r="AB8" s="1613" t="s">
        <v>2836</v>
      </c>
      <c r="AC8" s="1613" t="s">
        <v>2837</v>
      </c>
      <c r="AD8" s="1613" t="s">
        <v>2838</v>
      </c>
      <c r="AE8" s="1613" t="s">
        <v>2839</v>
      </c>
      <c r="AF8" s="1613" t="s">
        <v>2840</v>
      </c>
      <c r="AG8" s="1613" t="s">
        <v>2841</v>
      </c>
      <c r="AH8" s="1613" t="s">
        <v>2842</v>
      </c>
      <c r="AI8" s="1613" t="s">
        <v>2843</v>
      </c>
      <c r="AJ8" s="1613" t="s">
        <v>2844</v>
      </c>
    </row>
    <row r="9" spans="1:36" ht="15">
      <c r="A9" s="3168"/>
      <c r="B9" s="198" t="s">
        <v>2845</v>
      </c>
      <c r="C9" s="922">
        <f>SUMIF(修正!C59:C119,C8,修正!E59:E119)</f>
        <v>0</v>
      </c>
      <c r="D9" s="200" t="s">
        <v>140</v>
      </c>
      <c r="E9" s="200" t="e">
        <f>ROUND(C11/E7,4)</f>
        <v>#DIV/0!</v>
      </c>
      <c r="F9" s="2751" t="s">
        <v>2846</v>
      </c>
      <c r="G9" s="2752"/>
      <c r="H9" s="2752"/>
      <c r="I9" s="2752"/>
      <c r="J9" s="2753"/>
      <c r="K9" s="1373"/>
      <c r="L9" s="2726" t="s">
        <v>2847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80" t="s">
        <v>2848</v>
      </c>
      <c r="X9" s="1614" t="s">
        <v>2849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68"/>
      <c r="B10" s="198" t="s">
        <v>2850</v>
      </c>
      <c r="C10" s="200">
        <f>SUMIF(修正!C59:C119,C8,修正!F59:F119)</f>
        <v>0</v>
      </c>
      <c r="D10" s="200" t="s">
        <v>141</v>
      </c>
      <c r="E10" s="200" t="e">
        <f>ROUND(C11/E7,4)</f>
        <v>#DIV/0!</v>
      </c>
      <c r="F10" s="2751" t="s">
        <v>2851</v>
      </c>
      <c r="G10" s="2752"/>
      <c r="H10" s="2752"/>
      <c r="I10" s="2752"/>
      <c r="J10" s="2753"/>
      <c r="K10" s="1373"/>
      <c r="L10" s="2726" t="s">
        <v>2852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8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68"/>
      <c r="B11" s="2754" t="s">
        <v>2853</v>
      </c>
      <c r="C11" s="923">
        <f>C10/4</f>
        <v>0</v>
      </c>
      <c r="D11" s="923" t="s">
        <v>142</v>
      </c>
      <c r="E11" s="923" t="e">
        <f>ROUND(C11/E7,4)</f>
        <v>#DIV/0!</v>
      </c>
      <c r="F11" s="2755" t="s">
        <v>2854</v>
      </c>
      <c r="G11" s="2756"/>
      <c r="H11" s="2756"/>
      <c r="I11" s="2756"/>
      <c r="J11" s="2757"/>
      <c r="K11" s="1373"/>
      <c r="L11" s="2726" t="s">
        <v>2855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80" t="s">
        <v>2856</v>
      </c>
      <c r="X11" s="1617" t="s">
        <v>2857</v>
      </c>
      <c r="Y11" s="1618">
        <f>$G$3</f>
        <v>3.71</v>
      </c>
      <c r="Z11" s="1618">
        <f t="shared" ref="Z11:AJ11" si="3">$G$3</f>
        <v>3.71</v>
      </c>
      <c r="AA11" s="1618">
        <f t="shared" si="3"/>
        <v>3.71</v>
      </c>
      <c r="AB11" s="1618">
        <f t="shared" si="3"/>
        <v>3.71</v>
      </c>
      <c r="AC11" s="1618">
        <f t="shared" si="3"/>
        <v>3.71</v>
      </c>
      <c r="AD11" s="1618">
        <f t="shared" si="3"/>
        <v>3.71</v>
      </c>
      <c r="AE11" s="1618">
        <f t="shared" si="3"/>
        <v>3.71</v>
      </c>
      <c r="AF11" s="1618">
        <f t="shared" si="3"/>
        <v>3.71</v>
      </c>
      <c r="AG11" s="1618">
        <f t="shared" si="3"/>
        <v>3.71</v>
      </c>
      <c r="AH11" s="1618">
        <f t="shared" si="3"/>
        <v>3.71</v>
      </c>
      <c r="AI11" s="1618">
        <f t="shared" si="3"/>
        <v>3.71</v>
      </c>
      <c r="AJ11" s="1618">
        <f t="shared" si="3"/>
        <v>3.71</v>
      </c>
    </row>
    <row r="12" spans="1:36" ht="25.5" thickBot="1">
      <c r="A12" s="3167" t="s">
        <v>2858</v>
      </c>
      <c r="B12" s="2758" t="s">
        <v>2859</v>
      </c>
      <c r="C12" s="919">
        <f>ROUND(C15*D15*E15*F15*G15*H15*I15*J15,4)</f>
        <v>1</v>
      </c>
      <c r="D12" s="2759" t="s">
        <v>2860</v>
      </c>
      <c r="E12" s="2760"/>
      <c r="F12" s="2760"/>
      <c r="G12" s="2761"/>
      <c r="H12" s="2761"/>
      <c r="I12" s="2761"/>
      <c r="J12" s="2762"/>
      <c r="K12" s="1373"/>
      <c r="L12" s="2763" t="s">
        <v>2861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80"/>
      <c r="X12" s="1619" t="s">
        <v>2862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85"/>
      <c r="B13" s="2764" t="s">
        <v>2863</v>
      </c>
      <c r="C13" s="2765" t="s">
        <v>2864</v>
      </c>
      <c r="D13" s="1811" t="s">
        <v>2865</v>
      </c>
      <c r="E13" s="1811" t="s">
        <v>2866</v>
      </c>
      <c r="F13" s="30" t="s">
        <v>2867</v>
      </c>
      <c r="G13" s="2766" t="s">
        <v>2868</v>
      </c>
      <c r="H13" s="2766" t="s">
        <v>2868</v>
      </c>
      <c r="I13" s="2766" t="s">
        <v>2868</v>
      </c>
      <c r="J13" s="2767" t="s">
        <v>2868</v>
      </c>
      <c r="K13" s="1373"/>
      <c r="L13" s="1373"/>
      <c r="M13" s="1373"/>
      <c r="N13" s="1373"/>
      <c r="O13" s="1373"/>
      <c r="P13" s="1373"/>
      <c r="Q13" s="1373"/>
      <c r="R13" s="1605">
        <v>12</v>
      </c>
      <c r="S13" s="1606"/>
      <c r="T13" s="1605">
        <f t="shared" ca="1" si="0"/>
        <v>0</v>
      </c>
      <c r="U13" s="1606"/>
      <c r="V13" s="1605">
        <f t="shared" ca="1" si="1"/>
        <v>0</v>
      </c>
      <c r="W13" s="3180"/>
      <c r="X13" s="1619"/>
      <c r="Y13" s="1616">
        <f>(-0.163*(Y12^2)-0.59*Y12+7617)*(10^(-4))/Y11</f>
        <v>0.2053099730458221</v>
      </c>
      <c r="Z13" s="1616">
        <f t="shared" ref="Z13:AJ13" si="5">(-0.163*(Z12^2)-0.59*Z12+7617)*(10^(-4))/Z11</f>
        <v>0.2053099730458221</v>
      </c>
      <c r="AA13" s="1616">
        <f t="shared" si="5"/>
        <v>0.2053099730458221</v>
      </c>
      <c r="AB13" s="1616">
        <f t="shared" si="5"/>
        <v>0.2053099730458221</v>
      </c>
      <c r="AC13" s="1616">
        <f t="shared" si="5"/>
        <v>0.2053099730458221</v>
      </c>
      <c r="AD13" s="1616">
        <f t="shared" si="5"/>
        <v>0.2053099730458221</v>
      </c>
      <c r="AE13" s="1616">
        <f t="shared" si="5"/>
        <v>0.2053099730458221</v>
      </c>
      <c r="AF13" s="1616">
        <f t="shared" si="5"/>
        <v>0.2053099730458221</v>
      </c>
      <c r="AG13" s="1616">
        <f t="shared" si="5"/>
        <v>0.2053099730458221</v>
      </c>
      <c r="AH13" s="1616">
        <f t="shared" si="5"/>
        <v>0.2053099730458221</v>
      </c>
      <c r="AI13" s="1616">
        <f t="shared" si="5"/>
        <v>0.2053099730458221</v>
      </c>
      <c r="AJ13" s="1616">
        <f t="shared" si="5"/>
        <v>0.2053099730458221</v>
      </c>
    </row>
    <row r="14" spans="1:36" ht="15">
      <c r="A14" s="3185"/>
      <c r="B14" s="2768"/>
      <c r="C14" s="2769"/>
      <c r="D14" s="2770"/>
      <c r="E14" s="2770"/>
      <c r="F14" s="2771"/>
      <c r="G14" s="2772" t="s">
        <v>2869</v>
      </c>
      <c r="H14" s="2773"/>
      <c r="I14" s="2774"/>
      <c r="J14" s="2775"/>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86"/>
      <c r="B15" s="2776" t="s">
        <v>2870</v>
      </c>
      <c r="C15" s="229">
        <f>IF(C14="有",1.1,1)</f>
        <v>1</v>
      </c>
      <c r="D15" s="229">
        <f>IF(D14="有",1.1,1)</f>
        <v>1</v>
      </c>
      <c r="E15" s="229">
        <f>IF(E14="有",1.1,1)</f>
        <v>1</v>
      </c>
      <c r="F15" s="229">
        <f>IF(F14="500米范围内",1.2,IF(F14="500-1000米",1.1,1))</f>
        <v>1</v>
      </c>
      <c r="G15" s="949">
        <v>1</v>
      </c>
      <c r="H15" s="949">
        <v>1</v>
      </c>
      <c r="I15" s="949">
        <v>1</v>
      </c>
      <c r="J15" s="950">
        <v>1</v>
      </c>
      <c r="K15" s="1373"/>
      <c r="L15" s="2777" t="s">
        <v>2806</v>
      </c>
      <c r="M15" s="920" t="s">
        <v>2871</v>
      </c>
      <c r="N15" s="920" t="s">
        <v>2872</v>
      </c>
      <c r="O15" s="920" t="s">
        <v>2873</v>
      </c>
      <c r="P15" s="2778" t="s">
        <v>2874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67" t="s">
        <v>2875</v>
      </c>
      <c r="B16" s="2745" t="s">
        <v>2876</v>
      </c>
      <c r="C16" s="1804">
        <f>ROUND(SUM(G17:J17)/C17,0)</f>
        <v>0</v>
      </c>
      <c r="D16" s="2779" t="s">
        <v>2877</v>
      </c>
      <c r="E16" s="2780" t="s">
        <v>3775</v>
      </c>
      <c r="F16" s="2781" t="s">
        <v>3776</v>
      </c>
      <c r="G16" s="2782"/>
      <c r="H16" s="2782"/>
      <c r="I16" s="2782"/>
      <c r="J16" s="2783"/>
      <c r="K16" s="1373"/>
      <c r="L16" s="2784" t="s">
        <v>2878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68"/>
      <c r="B17" s="2785" t="s">
        <v>2879</v>
      </c>
      <c r="C17" s="924">
        <f>SUMPRODUCT((修正!A2:A5=E2)*(修正!B1:M1=G2)*(修正!B2:M5))</f>
        <v>2.5</v>
      </c>
      <c r="D17" s="2786" t="s">
        <v>2880</v>
      </c>
      <c r="E17" s="923" t="str">
        <f>IF(OR(G2="八级",G2="九级",G2="十级",G2="十一级",G2="十二级"),"五通一平","七通一平")</f>
        <v>七通一平</v>
      </c>
      <c r="F17" s="924" t="s">
        <v>2881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2882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2883</v>
      </c>
      <c r="C18" s="926">
        <f>SUMIF(修正!C18:C39,E3,修正!E18:E39)</f>
        <v>1</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2884</v>
      </c>
      <c r="C19" s="927">
        <f>ROUND(IF(H19="按公示增长率计算",SUMPRODUCT((地价!A3:A24=YEAR(G19)&amp;"-"&amp;ROUNDUP(MONTH(G19)/3,0))*(地价!X2:AB2=E2)*(地价!X3:AB24)),IF(H19="地价指数",M20/M19,(1+I19)^O19)),4)</f>
        <v>1.5531999999999999</v>
      </c>
      <c r="D19" s="2797" t="s">
        <v>2885</v>
      </c>
      <c r="E19" s="928">
        <v>41640</v>
      </c>
      <c r="F19" s="2797" t="s">
        <v>2886</v>
      </c>
      <c r="G19" s="929">
        <f>'数据-取费表'!B2</f>
        <v>43430</v>
      </c>
      <c r="H19" s="2798" t="s">
        <v>3777</v>
      </c>
      <c r="I19" s="930" t="str">
        <f>IF(H19="季度增幅（自定义）",SUMIF(N21:N24,E2,O21:O24),"")</f>
        <v/>
      </c>
      <c r="J19" s="2795"/>
      <c r="K19" s="1380"/>
      <c r="L19" s="2799" t="s">
        <v>2887</v>
      </c>
      <c r="M19" s="1737">
        <f>ROUND(SUMIF(地价!B2:F2,E2,地价!B24:F24),0)</f>
        <v>423</v>
      </c>
      <c r="N19" s="2800" t="s">
        <v>2888</v>
      </c>
      <c r="O19" s="931">
        <f>ROUNDDOWN(DATEDIF(E19,G19,"M")/3,0)</f>
        <v>19</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2889</v>
      </c>
      <c r="C20" s="932">
        <f ca="1">ROUND(POWER(1+G20,J20-I20)*(POWER(1+G20,I20)-1)/(POWER(1+G20,J20)-1),4)</f>
        <v>0.98780000000000001</v>
      </c>
      <c r="D20" s="2806" t="s">
        <v>2890</v>
      </c>
      <c r="E20" s="1771">
        <f ca="1">存贷款利率!D4/100</f>
        <v>4.3499999999999997E-2</v>
      </c>
      <c r="F20" s="2806" t="s">
        <v>2882</v>
      </c>
      <c r="G20" s="937">
        <f ca="1">SUMIF(M15:P15,E2,M17:P17)</f>
        <v>0.05</v>
      </c>
      <c r="H20" s="2806" t="s">
        <v>2891</v>
      </c>
      <c r="I20" s="938">
        <f>SUMIF('数据-取费表'!C6:C15,E2,'数据-取费表'!F6:F15)/COUNTIF('数据-取费表'!C6:C15,E2)</f>
        <v>63.72</v>
      </c>
      <c r="J20" s="939">
        <f>IF(E2="住宅",70,IF(E2="商业",40,50))</f>
        <v>70</v>
      </c>
      <c r="K20" s="1380"/>
      <c r="L20" s="2807" t="s">
        <v>2892</v>
      </c>
      <c r="M20" s="1738">
        <f>ROUND(SUMPRODUCT((地价!A4:A24=YEAR(G19)&amp;"-"&amp;ROUNDUP(MONTH(G19)/3,0))*(地价!B2:F2=E2)*(地价!B4:F24)),0)</f>
        <v>657</v>
      </c>
      <c r="N20" s="2808" t="s">
        <v>2893</v>
      </c>
      <c r="O20" s="2809" t="s">
        <v>2894</v>
      </c>
      <c r="P20" s="2810" t="s">
        <v>2895</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3778</v>
      </c>
      <c r="C21" s="940">
        <f>IF(B21="容积率修正",IF(G3&lt;=10,D22,J22),C23)</f>
        <v>0.90510000000000002</v>
      </c>
      <c r="D21" s="2813"/>
      <c r="E21" s="2813"/>
      <c r="F21" s="2813"/>
      <c r="G21" s="2813"/>
      <c r="H21" s="2813"/>
      <c r="I21" s="2813"/>
      <c r="J21" s="2814"/>
      <c r="K21" s="1380"/>
      <c r="N21" s="2815" t="s">
        <v>2896</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38" customFormat="1" ht="14.25">
      <c r="A22" s="2664" t="s">
        <v>2897</v>
      </c>
      <c r="B22" s="2816" t="s">
        <v>2898</v>
      </c>
      <c r="C22" s="1813" t="s">
        <v>2899</v>
      </c>
      <c r="D22" s="1813">
        <f>IF(E22=G22,F22,IF(G3&lt;=10,ROUND(F22+(H22-F22)*(G3-E22)/(G22-E22),4),"——"))</f>
        <v>0.90510000000000002</v>
      </c>
      <c r="E22" s="916">
        <f>ROUNDDOWN(G3,1)</f>
        <v>3.7</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3.8000000000000003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0.90010000000000001</v>
      </c>
      <c r="I22" s="1813" t="s">
        <v>155</v>
      </c>
      <c r="J22" s="941" t="str">
        <f>IF(G3&gt;10,D113,"——")</f>
        <v>——</v>
      </c>
      <c r="K22" s="1380"/>
      <c r="N22" s="2815" t="s">
        <v>2900</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4" t="s">
        <v>2901</v>
      </c>
      <c r="B23" s="2817" t="s">
        <v>2902</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2903</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2904</v>
      </c>
      <c r="C24" s="927">
        <f>SUMIF(A45:A88,E2,B45:B88)</f>
        <v>1.05</v>
      </c>
      <c r="D24" s="2793"/>
      <c r="E24" s="2823"/>
      <c r="F24" s="2823"/>
      <c r="G24" s="2823"/>
      <c r="H24" s="2823"/>
      <c r="I24" s="2823"/>
      <c r="J24" s="2824"/>
      <c r="K24" s="1380"/>
      <c r="N24" s="2825" t="s">
        <v>2905</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2906</v>
      </c>
      <c r="C25" s="933"/>
      <c r="D25" s="2748"/>
      <c r="E25" s="2748"/>
      <c r="F25" s="2827"/>
      <c r="G25" s="2748"/>
      <c r="H25" s="2748"/>
      <c r="I25" s="2748"/>
      <c r="J25" s="2749"/>
      <c r="K25" s="1373"/>
      <c r="N25" s="2828" t="s">
        <v>2907</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9"/>
      <c r="B26" s="2816" t="s">
        <v>2908</v>
      </c>
      <c r="C26" s="206">
        <f ca="1">E29+SUM(E33:E39)</f>
        <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2909</v>
      </c>
      <c r="C27" s="934">
        <f ca="1">E30+SUM(I33:I39)</f>
        <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2910</v>
      </c>
      <c r="C28" s="2840" t="s">
        <v>2911</v>
      </c>
      <c r="D28" s="2840" t="s">
        <v>2912</v>
      </c>
      <c r="E28" s="2841" t="s">
        <v>2913</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2914</v>
      </c>
      <c r="C29" s="206">
        <f ca="1">ROUND(C5*C18*C19*C20*C21*C24,0)</f>
        <v>27456</v>
      </c>
      <c r="D29" s="2845"/>
      <c r="E29" s="945">
        <f ca="1">ROUND(C29*D29/10000,0)</f>
        <v>0</v>
      </c>
      <c r="F29" s="2846" t="s">
        <v>2915</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2916</v>
      </c>
      <c r="C30" s="229">
        <f ca="1">ROUND(IF(E2="工业",C29*M39,C29*M38),0)</f>
        <v>6864</v>
      </c>
      <c r="D30" s="2851"/>
      <c r="E30" s="945">
        <f ca="1">ROUND(C30*D30/10000,0)</f>
        <v>0</v>
      </c>
      <c r="F30" s="2852" t="s">
        <v>2917</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2918</v>
      </c>
      <c r="C31" s="2857" t="s">
        <v>2919</v>
      </c>
      <c r="D31" s="2761"/>
      <c r="E31" s="2857"/>
      <c r="F31" s="2857"/>
      <c r="G31" s="2759" t="s">
        <v>2920</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2911</v>
      </c>
      <c r="D32" s="498" t="s">
        <v>2912</v>
      </c>
      <c r="E32" s="498" t="s">
        <v>2913</v>
      </c>
      <c r="F32" s="388" t="s">
        <v>2921</v>
      </c>
      <c r="G32" s="2860" t="s">
        <v>2911</v>
      </c>
      <c r="H32" s="2860" t="s">
        <v>2912</v>
      </c>
      <c r="I32" s="2860"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175" t="s">
        <v>2922</v>
      </c>
      <c r="B33" s="2861" t="s">
        <v>2923</v>
      </c>
      <c r="C33" s="206">
        <f ca="1">ROUND(D5*C19*C20*C24*F33,0)</f>
        <v>0</v>
      </c>
      <c r="D33" s="2845"/>
      <c r="E33" s="200">
        <f ca="1">ROUND(C33*D33/10000,0)</f>
        <v>0</v>
      </c>
      <c r="F33" s="200">
        <f>SUMIF(修正!A45:A56,G2,修正!B45:B56)</f>
        <v>0.7</v>
      </c>
      <c r="G33" s="200">
        <f t="shared" ref="G33" ca="1" si="6">ROUND(IF(E2="工业",C33*$M$39,C33*$M$38),0)</f>
        <v>0</v>
      </c>
      <c r="H33" s="200">
        <f>D33</f>
        <v>0</v>
      </c>
      <c r="I33" s="200">
        <f ca="1">ROUND(G33*H33/10000,0)</f>
        <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76"/>
      <c r="B34" s="2765" t="s">
        <v>2924</v>
      </c>
      <c r="C34" s="206">
        <f ca="1">ROUND(D5*C19*C20*C24*F34,0)</f>
        <v>0</v>
      </c>
      <c r="D34" s="2845"/>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76"/>
      <c r="B35" s="2765" t="s">
        <v>2925</v>
      </c>
      <c r="C35" s="206">
        <f ca="1">ROUND(D5*C19*C20*C24*F35,0)</f>
        <v>0</v>
      </c>
      <c r="D35" s="2845"/>
      <c r="E35" s="200">
        <f t="shared" ca="1" si="7"/>
        <v>0</v>
      </c>
      <c r="F35" s="200">
        <f>SUMIF(修正!A45:A56,G2,修正!D45:D56)</f>
        <v>0.28000000000000003</v>
      </c>
      <c r="G35" s="200">
        <f ca="1">ROUND(IF(E2="工业",C35*$M$39,C35*$M$38),0)</f>
        <v>0</v>
      </c>
      <c r="H35" s="200">
        <f t="shared" si="8"/>
        <v>0</v>
      </c>
      <c r="I35" s="200">
        <f t="shared" ca="1" si="9"/>
        <v>0</v>
      </c>
      <c r="J35" s="2862"/>
      <c r="K35" s="1373"/>
      <c r="L35" s="1373"/>
      <c r="M35" s="1373"/>
      <c r="N35" s="1373"/>
      <c r="O35" s="1373"/>
      <c r="P35" s="1373"/>
      <c r="Q35" s="1373"/>
      <c r="R35" s="1373"/>
      <c r="S35" s="1373"/>
      <c r="T35" s="1373"/>
      <c r="U35" s="1373"/>
      <c r="V35" s="1373"/>
      <c r="W35" s="1373"/>
      <c r="X35" s="1373"/>
      <c r="Y35" s="1373"/>
      <c r="Z35" s="1374"/>
    </row>
    <row r="36" spans="1:37" ht="13.5" thickBot="1">
      <c r="A36" s="3177"/>
      <c r="B36" s="2765" t="s">
        <v>2926</v>
      </c>
      <c r="C36" s="206">
        <f ca="1">ROUND(D5*C19*C20*C24*F36,0)</f>
        <v>0</v>
      </c>
      <c r="D36" s="2845"/>
      <c r="E36" s="200">
        <f t="shared" ca="1" si="7"/>
        <v>0</v>
      </c>
      <c r="F36" s="200">
        <f>SUMIF(修正!A45:A56,G2,修正!E45:E56)</f>
        <v>0.25</v>
      </c>
      <c r="G36" s="200">
        <f ca="1">ROUND(IF(E2="工业",C36*$M$39,C36*$M$38),0)</f>
        <v>0</v>
      </c>
      <c r="H36" s="200">
        <f t="shared" si="8"/>
        <v>0</v>
      </c>
      <c r="I36" s="200">
        <f t="shared" ca="1" si="9"/>
        <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2927</v>
      </c>
      <c r="C37" s="200">
        <f ca="1">ROUND(C5*C19*C20*C24*F37,0)</f>
        <v>7584</v>
      </c>
      <c r="D37" s="2845"/>
      <c r="E37" s="200">
        <f t="shared" ca="1" si="7"/>
        <v>0</v>
      </c>
      <c r="F37" s="206">
        <f>SUMIF(修正!A45:A56,G2,修正!F45:F56)</f>
        <v>0.25</v>
      </c>
      <c r="G37" s="200">
        <f ca="1">ROUND(IF(E2="工业",C37*$M$39,C37*$M$38),0)</f>
        <v>1896</v>
      </c>
      <c r="H37" s="200">
        <f t="shared" si="8"/>
        <v>0</v>
      </c>
      <c r="I37" s="200">
        <f t="shared" ca="1" si="9"/>
        <v>0</v>
      </c>
      <c r="J37" s="2862"/>
      <c r="K37" s="1373"/>
      <c r="L37" s="2864" t="s">
        <v>2928</v>
      </c>
      <c r="M37" s="2865"/>
      <c r="N37" s="1373"/>
      <c r="O37" s="1373"/>
      <c r="P37" s="1373"/>
      <c r="Q37" s="1373"/>
      <c r="R37" s="1373"/>
      <c r="S37" s="1373"/>
      <c r="T37" s="1373"/>
      <c r="U37" s="1373"/>
      <c r="V37" s="1373"/>
      <c r="W37" s="1373"/>
      <c r="X37" s="1373"/>
      <c r="Y37" s="1373"/>
      <c r="Z37" s="1374"/>
    </row>
    <row r="38" spans="1:37">
      <c r="A38" s="2863"/>
      <c r="B38" s="2765" t="s">
        <v>2929</v>
      </c>
      <c r="C38" s="200">
        <f ca="1">ROUND(C5*C19*C20*C24*F38,0)</f>
        <v>7584</v>
      </c>
      <c r="D38" s="2845"/>
      <c r="E38" s="200">
        <f t="shared" ca="1" si="7"/>
        <v>0</v>
      </c>
      <c r="F38" s="206">
        <f>SUMIF(修正!A45:A56,G2,修正!G45:G56)</f>
        <v>0.25</v>
      </c>
      <c r="G38" s="200">
        <f ca="1">ROUND(IF(E2="工业",C38*$M$39,C38*$M$38),0)</f>
        <v>1896</v>
      </c>
      <c r="H38" s="200">
        <f t="shared" si="8"/>
        <v>0</v>
      </c>
      <c r="I38" s="200">
        <f t="shared" ca="1" si="9"/>
        <v>0</v>
      </c>
      <c r="J38" s="2862"/>
      <c r="K38" s="1373"/>
      <c r="L38" s="1890" t="s">
        <v>2930</v>
      </c>
      <c r="M38" s="2866">
        <v>0.25</v>
      </c>
      <c r="N38" s="1373"/>
      <c r="O38" s="1373"/>
      <c r="P38" s="1373"/>
      <c r="Q38" s="1373"/>
      <c r="R38" s="1373"/>
      <c r="S38" s="1373"/>
      <c r="T38" s="1373"/>
      <c r="U38" s="1373"/>
      <c r="V38" s="1373"/>
      <c r="W38" s="1373"/>
      <c r="X38" s="1373"/>
      <c r="Y38" s="1373"/>
      <c r="Z38" s="1374"/>
    </row>
    <row r="39" spans="1:37" ht="13.5" thickBot="1">
      <c r="A39" s="2849"/>
      <c r="B39" s="2867" t="s">
        <v>2931</v>
      </c>
      <c r="C39" s="229">
        <f ca="1">ROUND(C5*C19*C20*C24*F39,0)</f>
        <v>6067</v>
      </c>
      <c r="D39" s="2851">
        <f>'数据-汇总表'!G19</f>
        <v>0</v>
      </c>
      <c r="E39" s="229">
        <f t="shared" ca="1" si="7"/>
        <v>0</v>
      </c>
      <c r="F39" s="935">
        <f>SUMIF(修正!A45:A56,G2,修正!H45:H56)</f>
        <v>0.2</v>
      </c>
      <c r="G39" s="229">
        <f ca="1">ROUND(IF(E2="工业",C39*$M$39,C39*$M$38),0)</f>
        <v>1517</v>
      </c>
      <c r="H39" s="229">
        <f t="shared" si="8"/>
        <v>0</v>
      </c>
      <c r="I39" s="229">
        <f t="shared" ca="1" si="9"/>
        <v>0</v>
      </c>
      <c r="J39" s="2868"/>
      <c r="K39" s="1373"/>
      <c r="L39" s="2869" t="s">
        <v>2874</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2932</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2933</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2934</v>
      </c>
      <c r="B47" s="1812" t="s">
        <v>2935</v>
      </c>
      <c r="C47" s="1812" t="s">
        <v>2936</v>
      </c>
      <c r="D47" s="1812" t="s">
        <v>2937</v>
      </c>
      <c r="E47" s="819" t="s">
        <v>2938</v>
      </c>
      <c r="F47" s="2879" t="s">
        <v>2939</v>
      </c>
      <c r="G47" s="1812" t="s">
        <v>754</v>
      </c>
      <c r="H47" s="2880" t="s">
        <v>2940</v>
      </c>
      <c r="I47" s="1812" t="s">
        <v>2941</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24.75">
      <c r="A48" s="2878" t="s">
        <v>2942</v>
      </c>
      <c r="B48" s="2881">
        <f>估价对象房地状况!C4</f>
        <v>0</v>
      </c>
      <c r="C48" s="2770"/>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53">
      <c r="A49" s="2878" t="s">
        <v>2943</v>
      </c>
      <c r="B49" s="2882" t="str">
        <f>估价对象房地状况!C18</f>
        <v>估价对象位于海淀区万柳地区，北距北四环西路约600米，周边路网较为密集，行车出入便捷。且项目及周边道路均设有停车场位，停车便捷。周边1公里范围内有481路、664路等公交线路，且地铁10号线巴沟站位于地块东北角，公交便捷度好。综上分析，估价对象所在区位整体交通便捷度较好。</v>
      </c>
      <c r="C49" s="2770"/>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78" t="s">
        <v>2944</v>
      </c>
      <c r="B50" s="2882" t="str">
        <f>估价对象房地状况!C19</f>
        <v>周边多为居住用地，区域土地利用方向较为一致。</v>
      </c>
      <c r="C50" s="2770"/>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2945</v>
      </c>
      <c r="B51" s="2883" t="s">
        <v>2946</v>
      </c>
      <c r="C51" s="2770"/>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5.5">
      <c r="A52" s="2878" t="s">
        <v>2947</v>
      </c>
      <c r="B52" s="2882" t="str">
        <f>估价对象房地状况!C24</f>
        <v>城市支路——万柳华府北街</v>
      </c>
      <c r="C52" s="2770"/>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2948</v>
      </c>
      <c r="B53" s="2884" t="s">
        <v>2949</v>
      </c>
      <c r="C53" s="2770"/>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5" t="s">
        <v>2950</v>
      </c>
      <c r="B54" s="1728" t="str">
        <f>估价对象房地状况!C21</f>
        <v>周边1.5公里内的公共服务配套设施较为齐备，有购物场所（北京华联万柳购物中心）、医院（北京市海淀区妇幼保健院）、银行（中国光大银行、浦发银行）、学校（北京市八一学校、万泉小学）、餐饮等公共服务配套设施。</v>
      </c>
      <c r="C54" s="2770"/>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2951</v>
      </c>
      <c r="B55" s="2882" t="str">
        <f>估价对象房地状况!C22</f>
        <v>估价对象所在区域基础设施水平达到“七通”。</v>
      </c>
      <c r="C55" s="2770"/>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90" thickBot="1">
      <c r="A56" s="2886" t="s">
        <v>2952</v>
      </c>
      <c r="B56" s="2887" t="str">
        <f>估价对象房地状况!C20</f>
        <v>估价对象所在区域有2公里范围内有海淀公园、巴沟山水园等自然景观；人文环境：多家幼儿园及北京市八一中学、中国人民大学等，人文环境好；综合评价环境状况较好。</v>
      </c>
      <c r="C56" s="2770"/>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2953</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2934</v>
      </c>
      <c r="B58" s="1812"/>
      <c r="C58" s="1812" t="s">
        <v>2936</v>
      </c>
      <c r="D58" s="1812" t="s">
        <v>2937</v>
      </c>
      <c r="E58" s="819" t="s">
        <v>2938</v>
      </c>
      <c r="F58" s="2879" t="s">
        <v>2954</v>
      </c>
      <c r="G58" s="1812" t="s">
        <v>754</v>
      </c>
      <c r="H58" s="2880" t="s">
        <v>2940</v>
      </c>
      <c r="I58" s="1812" t="s">
        <v>2941</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24">
      <c r="A59" s="2878" t="s">
        <v>2955</v>
      </c>
      <c r="B59" s="2881">
        <f>估价对象房地状况!C17</f>
        <v>0</v>
      </c>
      <c r="C59" s="2770"/>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53">
      <c r="A60" s="2878" t="s">
        <v>2943</v>
      </c>
      <c r="B60" s="2882" t="str">
        <f>估价对象房地状况!C18</f>
        <v>估价对象位于海淀区万柳地区，北距北四环西路约600米，周边路网较为密集，行车出入便捷。且项目及周边道路均设有停车场位，停车便捷。周边1公里范围内有481路、664路等公交线路，且地铁10号线巴沟站位于地块东北角，公交便捷度好。综上分析，估价对象所在区位整体交通便捷度较好。</v>
      </c>
      <c r="C60" s="2770"/>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78" t="s">
        <v>2944</v>
      </c>
      <c r="B61" s="2882" t="str">
        <f>估价对象房地状况!C19</f>
        <v>周边多为居住用地，区域土地利用方向较为一致。</v>
      </c>
      <c r="C61" s="2770"/>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2945</v>
      </c>
      <c r="B62" s="2883" t="s">
        <v>2946</v>
      </c>
      <c r="C62" s="2770"/>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5.5">
      <c r="A63" s="2878" t="s">
        <v>2947</v>
      </c>
      <c r="B63" s="2882" t="str">
        <f>估价对象房地状况!C24</f>
        <v>城市支路——万柳华府北街</v>
      </c>
      <c r="C63" s="2770"/>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2948</v>
      </c>
      <c r="B64" s="2884" t="s">
        <v>2949</v>
      </c>
      <c r="C64" s="2770"/>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78" t="s">
        <v>2950</v>
      </c>
      <c r="B65" s="1728" t="str">
        <f>估价对象房地状况!C21</f>
        <v>周边1.5公里内的公共服务配套设施较为齐备，有购物场所（北京华联万柳购物中心）、医院（北京市海淀区妇幼保健院）、银行（中国光大银行、浦发银行）、学校（北京市八一学校、万泉小学）、餐饮等公共服务配套设施。</v>
      </c>
      <c r="C65" s="2770"/>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2951</v>
      </c>
      <c r="B66" s="1728" t="str">
        <f>估价对象房地状况!C22</f>
        <v>估价对象所在区域基础设施水平达到“七通”。</v>
      </c>
      <c r="C66" s="2770"/>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90" thickBot="1">
      <c r="A67" s="2886" t="s">
        <v>2952</v>
      </c>
      <c r="B67" s="2888" t="str">
        <f>估价对象房地状况!C20</f>
        <v>估价对象所在区域有2公里范围内有海淀公园、巴沟山水园等自然景观；人文环境：多家幼儿园及北京市八一中学、中国人民大学等，人文环境好；综合评价环境状况较好。</v>
      </c>
      <c r="C67" s="2770"/>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2956</v>
      </c>
      <c r="B68" s="2875">
        <f>1+E70</f>
        <v>1.05</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2934</v>
      </c>
      <c r="B69" s="1812"/>
      <c r="C69" s="1812" t="s">
        <v>2936</v>
      </c>
      <c r="D69" s="1812" t="s">
        <v>2937</v>
      </c>
      <c r="E69" s="819" t="s">
        <v>2938</v>
      </c>
      <c r="F69" s="2879" t="s">
        <v>2954</v>
      </c>
      <c r="G69" s="1812" t="s">
        <v>754</v>
      </c>
      <c r="H69" s="2880" t="s">
        <v>2940</v>
      </c>
      <c r="I69" s="1812" t="s">
        <v>2941</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89.25">
      <c r="A70" s="2878" t="s">
        <v>2957</v>
      </c>
      <c r="B70" s="2881" t="str">
        <f>估价对象房地状况!C15</f>
        <v>估价对象周边居住用地比例较大，分布有万泉新新家园、万柳华府、万柳星标家园等居住社区。区域内社区配套完善程度好、入住率较高，综合考虑居住社区成熟度较好。</v>
      </c>
      <c r="C70" s="2770" t="s">
        <v>3784</v>
      </c>
      <c r="D70" s="1289">
        <f t="shared" ref="D70:D78" si="20">SUMIF($J$69:$N$69,C70,J70:N70)</f>
        <v>6.7000000000000002E-3</v>
      </c>
      <c r="E70" s="821">
        <f>ROUND(SUM(D70:D78),4)</f>
        <v>0.05</v>
      </c>
      <c r="F70" s="2503">
        <f>IF(E2="住宅",SUMIF(L1:L12,G2,N1:N12),"——")</f>
        <v>9.7000000000000003E-2</v>
      </c>
      <c r="G70" s="1287">
        <f t="shared" ref="G70:G78" si="21">H70</f>
        <v>6.7000000000000002E-3</v>
      </c>
      <c r="H70" s="1291">
        <f t="shared" ref="H70:H78" si="22">IFERROR(ROUNDDOWN($F$70*I70/2,4),"——")</f>
        <v>6.7000000000000002E-3</v>
      </c>
      <c r="I70" s="820">
        <v>0.14000000000000001</v>
      </c>
      <c r="J70" s="1288">
        <f t="shared" ref="J70:J78" si="23">K70+$G70</f>
        <v>1.34E-2</v>
      </c>
      <c r="K70" s="1288">
        <f t="shared" ref="K70:K78" si="24">$L70+$G70</f>
        <v>6.7000000000000002E-3</v>
      </c>
      <c r="L70" s="1288">
        <v>0</v>
      </c>
      <c r="M70" s="1288">
        <f t="shared" ref="M70:N78" si="25">L70-$G70</f>
        <v>-6.7000000000000002E-3</v>
      </c>
      <c r="N70" s="1288">
        <f t="shared" si="25"/>
        <v>-1.34E-2</v>
      </c>
      <c r="AA70" s="1374"/>
      <c r="AB70" s="1374"/>
      <c r="AC70" s="1374"/>
      <c r="AD70" s="1374"/>
      <c r="AE70" s="1374"/>
      <c r="AF70" s="1374"/>
      <c r="AG70" s="1374"/>
      <c r="AH70" s="1374"/>
      <c r="AI70" s="1374"/>
      <c r="AJ70" s="1374"/>
      <c r="AK70" s="1374"/>
    </row>
    <row r="71" spans="1:37" s="1373" customFormat="1" ht="196.5" customHeight="1">
      <c r="A71" s="2878" t="s">
        <v>2943</v>
      </c>
      <c r="B71" s="2882" t="str">
        <f>估价对象房地状况!C18</f>
        <v>估价对象位于海淀区万柳地区，北距北四环西路约600米，周边路网较为密集，行车出入便捷。且项目及周边道路均设有停车场位，停车便捷。周边1公里范围内有481路、664路等公交线路，且地铁10号线巴沟站位于地块东北角，公交便捷度好。综上分析，估价对象所在区位整体交通便捷度较好。</v>
      </c>
      <c r="C71" s="2770" t="s">
        <v>3784</v>
      </c>
      <c r="D71" s="1289">
        <f t="shared" si="20"/>
        <v>1.4500000000000001E-2</v>
      </c>
      <c r="E71" s="826"/>
      <c r="F71" s="2503"/>
      <c r="G71" s="1287">
        <f t="shared" si="21"/>
        <v>1.4500000000000001E-2</v>
      </c>
      <c r="H71" s="1291">
        <f t="shared" si="22"/>
        <v>1.4500000000000001E-2</v>
      </c>
      <c r="I71" s="820">
        <v>0.3</v>
      </c>
      <c r="J71" s="1288">
        <f t="shared" si="23"/>
        <v>2.9000000000000001E-2</v>
      </c>
      <c r="K71" s="1288">
        <f t="shared" si="24"/>
        <v>1.4500000000000001E-2</v>
      </c>
      <c r="L71" s="1288">
        <v>0</v>
      </c>
      <c r="M71" s="1288">
        <f t="shared" si="25"/>
        <v>-1.4500000000000001E-2</v>
      </c>
      <c r="N71" s="1288">
        <f t="shared" si="25"/>
        <v>-2.9000000000000001E-2</v>
      </c>
      <c r="AA71" s="1374"/>
      <c r="AB71" s="1374"/>
      <c r="AC71" s="1374"/>
      <c r="AD71" s="1374"/>
      <c r="AE71" s="1374"/>
      <c r="AF71" s="1374"/>
      <c r="AG71" s="1374"/>
      <c r="AH71" s="1374"/>
      <c r="AI71" s="1374"/>
      <c r="AJ71" s="1374"/>
      <c r="AK71" s="1374"/>
    </row>
    <row r="72" spans="1:37" s="1373" customFormat="1" ht="25.5">
      <c r="A72" s="2878" t="s">
        <v>2944</v>
      </c>
      <c r="B72" s="2882" t="str">
        <f>估价对象房地状况!C19</f>
        <v>周边多为居住用地，区域土地利用方向较为一致。</v>
      </c>
      <c r="C72" s="2770" t="s">
        <v>3784</v>
      </c>
      <c r="D72" s="1289">
        <f t="shared" si="20"/>
        <v>3.8E-3</v>
      </c>
      <c r="E72" s="826"/>
      <c r="F72" s="2503"/>
      <c r="G72" s="1287">
        <f t="shared" si="21"/>
        <v>3.8E-3</v>
      </c>
      <c r="H72" s="1291">
        <f t="shared" si="22"/>
        <v>3.8E-3</v>
      </c>
      <c r="I72" s="820">
        <v>0.08</v>
      </c>
      <c r="J72" s="1288">
        <f t="shared" si="23"/>
        <v>7.6E-3</v>
      </c>
      <c r="K72" s="1288">
        <f t="shared" si="24"/>
        <v>3.8E-3</v>
      </c>
      <c r="L72" s="1288">
        <v>0</v>
      </c>
      <c r="M72" s="1288">
        <f t="shared" si="25"/>
        <v>-3.8E-3</v>
      </c>
      <c r="N72" s="1288">
        <f t="shared" si="25"/>
        <v>-7.6E-3</v>
      </c>
      <c r="AA72" s="1374"/>
      <c r="AB72" s="1374"/>
      <c r="AC72" s="1374"/>
      <c r="AD72" s="1374"/>
      <c r="AE72" s="1374"/>
      <c r="AF72" s="1374"/>
      <c r="AG72" s="1374"/>
      <c r="AH72" s="1374"/>
      <c r="AI72" s="1374"/>
      <c r="AJ72" s="1374"/>
      <c r="AK72" s="1374"/>
    </row>
    <row r="73" spans="1:37" s="1373" customFormat="1" ht="25.5">
      <c r="A73" s="2878" t="s">
        <v>2958</v>
      </c>
      <c r="B73" s="2882" t="str">
        <f>估价对象房地状况!C24</f>
        <v>城市支路——万柳华府北街</v>
      </c>
      <c r="C73" s="2770" t="s">
        <v>3787</v>
      </c>
      <c r="D73" s="1289">
        <f t="shared" si="20"/>
        <v>-1.9E-3</v>
      </c>
      <c r="E73" s="826"/>
      <c r="F73" s="2503"/>
      <c r="G73" s="1287">
        <f t="shared" si="21"/>
        <v>1.9E-3</v>
      </c>
      <c r="H73" s="1291">
        <f t="shared" si="22"/>
        <v>1.9E-3</v>
      </c>
      <c r="I73" s="820">
        <v>0.04</v>
      </c>
      <c r="J73" s="1288">
        <f t="shared" si="23"/>
        <v>3.8E-3</v>
      </c>
      <c r="K73" s="1288">
        <f t="shared" si="24"/>
        <v>1.9E-3</v>
      </c>
      <c r="L73" s="1288">
        <v>0</v>
      </c>
      <c r="M73" s="1288">
        <f t="shared" si="25"/>
        <v>-1.9E-3</v>
      </c>
      <c r="N73" s="1288">
        <f t="shared" si="25"/>
        <v>-3.8E-3</v>
      </c>
      <c r="AA73" s="1374"/>
      <c r="AB73" s="1374"/>
      <c r="AC73" s="1374"/>
      <c r="AD73" s="1374"/>
      <c r="AE73" s="1374"/>
      <c r="AF73" s="1374"/>
      <c r="AG73" s="1374"/>
      <c r="AH73" s="1374"/>
      <c r="AI73" s="1374"/>
      <c r="AJ73" s="1374"/>
      <c r="AK73" s="1374"/>
    </row>
    <row r="74" spans="1:37" s="1373" customFormat="1" ht="114.75">
      <c r="A74" s="2878" t="s">
        <v>2950</v>
      </c>
      <c r="B74" s="1728" t="str">
        <f>估价对象房地状况!C21</f>
        <v>周边1.5公里内的公共服务配套设施较为齐备，有购物场所（北京华联万柳购物中心）、医院（北京市海淀区妇幼保健院）、银行（中国光大银行、浦发银行）、学校（北京市八一学校、万泉小学）、餐饮等公共服务配套设施。</v>
      </c>
      <c r="C74" s="2770" t="s">
        <v>3784</v>
      </c>
      <c r="D74" s="1289">
        <f t="shared" si="20"/>
        <v>3.8E-3</v>
      </c>
      <c r="E74" s="826"/>
      <c r="F74" s="2503"/>
      <c r="G74" s="1287">
        <f t="shared" si="21"/>
        <v>3.8E-3</v>
      </c>
      <c r="H74" s="1291">
        <f t="shared" si="22"/>
        <v>3.8E-3</v>
      </c>
      <c r="I74" s="820">
        <v>0.08</v>
      </c>
      <c r="J74" s="1288">
        <f t="shared" si="23"/>
        <v>7.6E-3</v>
      </c>
      <c r="K74" s="1288">
        <f t="shared" si="24"/>
        <v>3.8E-3</v>
      </c>
      <c r="L74" s="1288">
        <v>0</v>
      </c>
      <c r="M74" s="1288">
        <f t="shared" si="25"/>
        <v>-3.8E-3</v>
      </c>
      <c r="N74" s="1288">
        <f t="shared" si="25"/>
        <v>-7.6E-3</v>
      </c>
      <c r="AA74" s="1374"/>
      <c r="AB74" s="1374"/>
      <c r="AC74" s="1374"/>
      <c r="AD74" s="1374"/>
      <c r="AE74" s="1374"/>
      <c r="AF74" s="1374"/>
      <c r="AG74" s="1374"/>
      <c r="AH74" s="1374"/>
      <c r="AI74" s="1374"/>
      <c r="AJ74" s="1374"/>
      <c r="AK74" s="1374"/>
    </row>
    <row r="75" spans="1:37" s="1373" customFormat="1" ht="25.5">
      <c r="A75" s="2878" t="s">
        <v>2951</v>
      </c>
      <c r="B75" s="1728" t="str">
        <f>估价对象房地状况!C22</f>
        <v>估价对象所在区域基础设施水平达到“七通”。</v>
      </c>
      <c r="C75" s="2770" t="s">
        <v>3785</v>
      </c>
      <c r="D75" s="1289">
        <f t="shared" si="20"/>
        <v>1.1599999999999999E-2</v>
      </c>
      <c r="E75" s="826"/>
      <c r="F75" s="2503"/>
      <c r="G75" s="1287">
        <f t="shared" si="21"/>
        <v>5.7999999999999996E-3</v>
      </c>
      <c r="H75" s="1291">
        <f t="shared" si="22"/>
        <v>5.7999999999999996E-3</v>
      </c>
      <c r="I75" s="820">
        <v>0.12</v>
      </c>
      <c r="J75" s="1288">
        <f t="shared" si="23"/>
        <v>1.1599999999999999E-2</v>
      </c>
      <c r="K75" s="1288">
        <f t="shared" si="24"/>
        <v>5.7999999999999996E-3</v>
      </c>
      <c r="L75" s="1288">
        <v>0</v>
      </c>
      <c r="M75" s="1288">
        <f t="shared" si="25"/>
        <v>-5.7999999999999996E-3</v>
      </c>
      <c r="N75" s="1288">
        <f t="shared" si="25"/>
        <v>-1.1599999999999999E-2</v>
      </c>
      <c r="AA75" s="1374"/>
      <c r="AB75" s="1374"/>
      <c r="AC75" s="1374"/>
      <c r="AD75" s="1374"/>
      <c r="AE75" s="1374"/>
      <c r="AF75" s="1374"/>
      <c r="AG75" s="1374"/>
      <c r="AH75" s="1374"/>
      <c r="AI75" s="1374"/>
      <c r="AJ75" s="1374"/>
      <c r="AK75" s="1374"/>
    </row>
    <row r="76" spans="1:37" s="2719" customFormat="1" ht="24">
      <c r="A76" s="2878" t="s">
        <v>2948</v>
      </c>
      <c r="B76" s="2970" t="s">
        <v>3788</v>
      </c>
      <c r="C76" s="2770" t="s">
        <v>3784</v>
      </c>
      <c r="D76" s="1289">
        <f t="shared" si="20"/>
        <v>2.3999999999999998E-3</v>
      </c>
      <c r="E76" s="826"/>
      <c r="F76" s="2503"/>
      <c r="G76" s="1287">
        <f t="shared" si="21"/>
        <v>2.3999999999999998E-3</v>
      </c>
      <c r="H76" s="1291">
        <f t="shared" si="22"/>
        <v>2.3999999999999998E-3</v>
      </c>
      <c r="I76" s="820">
        <v>0.05</v>
      </c>
      <c r="J76" s="1288">
        <f t="shared" si="23"/>
        <v>4.7999999999999996E-3</v>
      </c>
      <c r="K76" s="1288">
        <f t="shared" si="24"/>
        <v>2.3999999999999998E-3</v>
      </c>
      <c r="L76" s="1288">
        <v>0</v>
      </c>
      <c r="M76" s="1288">
        <f t="shared" si="25"/>
        <v>-2.3999999999999998E-3</v>
      </c>
      <c r="N76" s="1288">
        <f t="shared" si="25"/>
        <v>-4.7999999999999996E-3</v>
      </c>
      <c r="AA76" s="2889"/>
      <c r="AB76" s="1374"/>
      <c r="AC76" s="1374"/>
      <c r="AD76" s="1374"/>
      <c r="AE76" s="1374"/>
      <c r="AF76" s="1374"/>
      <c r="AG76" s="1374"/>
      <c r="AH76" s="2889"/>
      <c r="AI76" s="2889"/>
      <c r="AJ76" s="2889"/>
      <c r="AK76" s="2889"/>
    </row>
    <row r="77" spans="1:37" ht="89.25">
      <c r="A77" s="2878" t="s">
        <v>2952</v>
      </c>
      <c r="B77" s="2881" t="str">
        <f>估价对象房地状况!C20</f>
        <v>估价对象所在区域有2公里范围内有海淀公园、巴沟山水园等自然景观；人文环境：多家幼儿园及北京市八一中学、中国人民大学等，人文环境好；综合评价环境状况较好。</v>
      </c>
      <c r="C77" s="2770" t="s">
        <v>3784</v>
      </c>
      <c r="D77" s="1289">
        <f t="shared" si="20"/>
        <v>7.1999999999999998E-3</v>
      </c>
      <c r="E77" s="826"/>
      <c r="F77" s="2503"/>
      <c r="G77" s="1287">
        <f t="shared" si="21"/>
        <v>7.1999999999999998E-3</v>
      </c>
      <c r="H77" s="1291">
        <f t="shared" si="22"/>
        <v>7.1999999999999998E-3</v>
      </c>
      <c r="I77" s="820">
        <v>0.15</v>
      </c>
      <c r="J77" s="1288">
        <f t="shared" si="23"/>
        <v>1.44E-2</v>
      </c>
      <c r="K77" s="1288">
        <f t="shared" si="24"/>
        <v>7.1999999999999998E-3</v>
      </c>
      <c r="L77" s="1288">
        <v>0</v>
      </c>
      <c r="M77" s="1288">
        <f t="shared" si="25"/>
        <v>-7.1999999999999998E-3</v>
      </c>
      <c r="N77" s="1288">
        <f t="shared" si="25"/>
        <v>-1.44E-2</v>
      </c>
      <c r="Z77" s="2720"/>
      <c r="AA77" s="2796"/>
      <c r="AG77" s="1375"/>
      <c r="AK77" s="2796"/>
    </row>
    <row r="78" spans="1:37" ht="24.75" thickBot="1">
      <c r="A78" s="2886" t="s">
        <v>2959</v>
      </c>
      <c r="B78" s="2890"/>
      <c r="C78" s="2770" t="s">
        <v>3784</v>
      </c>
      <c r="D78" s="1289">
        <f t="shared" si="20"/>
        <v>1.9E-3</v>
      </c>
      <c r="E78" s="827"/>
      <c r="F78" s="2503"/>
      <c r="G78" s="1287">
        <f t="shared" si="21"/>
        <v>1.9E-3</v>
      </c>
      <c r="H78" s="1291">
        <f t="shared" si="22"/>
        <v>1.9E-3</v>
      </c>
      <c r="I78" s="824">
        <v>0.04</v>
      </c>
      <c r="J78" s="1288">
        <f t="shared" si="23"/>
        <v>3.8E-3</v>
      </c>
      <c r="K78" s="1288">
        <f t="shared" si="24"/>
        <v>1.9E-3</v>
      </c>
      <c r="L78" s="1288">
        <v>0</v>
      </c>
      <c r="M78" s="1288">
        <f t="shared" si="25"/>
        <v>-1.9E-3</v>
      </c>
      <c r="N78" s="1288">
        <f t="shared" si="25"/>
        <v>-3.8E-3</v>
      </c>
      <c r="Z78" s="2720"/>
      <c r="AA78" s="2796"/>
      <c r="AG78" s="1375"/>
      <c r="AK78" s="2796"/>
    </row>
    <row r="79" spans="1:37" ht="15">
      <c r="A79" s="2874" t="s">
        <v>2960</v>
      </c>
      <c r="B79" s="2875">
        <f>1+E81</f>
        <v>1</v>
      </c>
      <c r="C79" s="814"/>
      <c r="D79" s="814"/>
      <c r="E79" s="815"/>
      <c r="F79" s="2877"/>
      <c r="G79" s="6"/>
      <c r="H79" s="6"/>
      <c r="I79" s="6"/>
      <c r="J79" s="7"/>
      <c r="K79" s="7"/>
      <c r="L79" s="7"/>
      <c r="M79" s="7"/>
      <c r="N79" s="7"/>
      <c r="Z79" s="2720"/>
      <c r="AA79" s="2796"/>
      <c r="AG79" s="1375"/>
      <c r="AK79" s="2796"/>
    </row>
    <row r="80" spans="1:37" ht="24.75">
      <c r="A80" s="2878" t="s">
        <v>2934</v>
      </c>
      <c r="B80" s="1812"/>
      <c r="C80" s="1812" t="s">
        <v>2936</v>
      </c>
      <c r="D80" s="1812" t="s">
        <v>2937</v>
      </c>
      <c r="E80" s="819" t="s">
        <v>2938</v>
      </c>
      <c r="F80" s="2879" t="s">
        <v>2954</v>
      </c>
      <c r="G80" s="1812" t="s">
        <v>754</v>
      </c>
      <c r="H80" s="2880" t="s">
        <v>2940</v>
      </c>
      <c r="I80" s="1812" t="s">
        <v>2941</v>
      </c>
      <c r="J80" s="603" t="s">
        <v>2589</v>
      </c>
      <c r="K80" s="603" t="s">
        <v>2590</v>
      </c>
      <c r="L80" s="603" t="s">
        <v>2591</v>
      </c>
      <c r="M80" s="603" t="s">
        <v>2592</v>
      </c>
      <c r="N80" s="603" t="s">
        <v>2593</v>
      </c>
      <c r="Z80" s="2720"/>
      <c r="AA80" s="2796"/>
      <c r="AG80" s="1375"/>
      <c r="AK80" s="2796"/>
    </row>
    <row r="81" spans="1:37" ht="38.25">
      <c r="A81" s="2878" t="s">
        <v>2961</v>
      </c>
      <c r="B81" s="2882" t="str">
        <f>估价对象房地状况!G15</f>
        <v>估价对象位于XX开发区，园区建设成熟度XX，产业集聚程度XX</v>
      </c>
      <c r="C81" s="2770"/>
      <c r="D81" s="1289">
        <f t="shared" ref="D81:D88" si="26">SUMIF($J$80:$N$80,C81,J81:N81)</f>
        <v>0</v>
      </c>
      <c r="E81" s="821">
        <f>ROUND(SUM(D81:D88),4)</f>
        <v>0</v>
      </c>
      <c r="F81" s="2503"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0"/>
      <c r="AA81" s="2796"/>
      <c r="AG81" s="1375"/>
      <c r="AK81" s="2796"/>
    </row>
    <row r="82" spans="1:37" ht="51">
      <c r="A82" s="2878" t="s">
        <v>2943</v>
      </c>
      <c r="B82" s="2882" t="str">
        <f>估价对象房地状况!G16</f>
        <v>估价对象周边道路状况、公共交通通达情况、停车便捷程度，综合评价交通便捷度较好</v>
      </c>
      <c r="C82" s="2770"/>
      <c r="D82" s="1289">
        <f t="shared" si="26"/>
        <v>0</v>
      </c>
      <c r="E82" s="826"/>
      <c r="F82" s="2503"/>
      <c r="G82" s="1287"/>
      <c r="H82" s="1291" t="str">
        <f t="shared" si="27"/>
        <v>——</v>
      </c>
      <c r="I82" s="820">
        <v>0.33</v>
      </c>
      <c r="J82" s="1288">
        <f t="shared" si="28"/>
        <v>0</v>
      </c>
      <c r="K82" s="1288">
        <f t="shared" si="29"/>
        <v>0</v>
      </c>
      <c r="L82" s="1288">
        <v>0</v>
      </c>
      <c r="M82" s="1288">
        <f t="shared" si="30"/>
        <v>0</v>
      </c>
      <c r="N82" s="1288">
        <f t="shared" si="30"/>
        <v>0</v>
      </c>
      <c r="Z82" s="2720"/>
      <c r="AA82" s="2796"/>
      <c r="AG82" s="1375"/>
      <c r="AK82" s="2796"/>
    </row>
    <row r="83" spans="1:37" ht="24">
      <c r="A83" s="2878" t="s">
        <v>2944</v>
      </c>
      <c r="B83" s="2882">
        <f>估价对象房地状况!G17</f>
        <v>0</v>
      </c>
      <c r="C83" s="2770"/>
      <c r="D83" s="1289">
        <f t="shared" si="26"/>
        <v>0</v>
      </c>
      <c r="E83" s="826"/>
      <c r="F83" s="2503"/>
      <c r="G83" s="1287"/>
      <c r="H83" s="1291" t="str">
        <f t="shared" si="27"/>
        <v>——</v>
      </c>
      <c r="I83" s="820">
        <v>0.05</v>
      </c>
      <c r="J83" s="1288">
        <f t="shared" si="28"/>
        <v>0</v>
      </c>
      <c r="K83" s="1288">
        <f t="shared" si="29"/>
        <v>0</v>
      </c>
      <c r="L83" s="1288">
        <v>0</v>
      </c>
      <c r="M83" s="1288">
        <f t="shared" si="30"/>
        <v>0</v>
      </c>
      <c r="N83" s="1288">
        <f t="shared" si="30"/>
        <v>0</v>
      </c>
      <c r="Z83" s="2720"/>
      <c r="AA83" s="2796"/>
      <c r="AG83" s="1375"/>
      <c r="AK83" s="2796"/>
    </row>
    <row r="84" spans="1:37" ht="14.25">
      <c r="A84" s="2878" t="s">
        <v>2958</v>
      </c>
      <c r="B84" s="2882">
        <f>估价对象房地状况!G22</f>
        <v>0</v>
      </c>
      <c r="C84" s="2770"/>
      <c r="D84" s="1289">
        <f t="shared" si="26"/>
        <v>0</v>
      </c>
      <c r="E84" s="826"/>
      <c r="F84" s="2503"/>
      <c r="G84" s="1287"/>
      <c r="H84" s="1291" t="str">
        <f t="shared" si="27"/>
        <v>——</v>
      </c>
      <c r="I84" s="820">
        <v>0.04</v>
      </c>
      <c r="J84" s="1288">
        <f t="shared" si="28"/>
        <v>0</v>
      </c>
      <c r="K84" s="1288">
        <f t="shared" si="29"/>
        <v>0</v>
      </c>
      <c r="L84" s="1288">
        <v>0</v>
      </c>
      <c r="M84" s="1288">
        <f t="shared" si="30"/>
        <v>0</v>
      </c>
      <c r="N84" s="1288">
        <f t="shared" si="30"/>
        <v>0</v>
      </c>
      <c r="Z84" s="2720"/>
      <c r="AA84" s="2796"/>
      <c r="AG84" s="1375"/>
      <c r="AK84" s="2796"/>
    </row>
    <row r="85" spans="1:37" ht="25.5">
      <c r="A85" s="2878" t="s">
        <v>2950</v>
      </c>
      <c r="B85" s="1728" t="str">
        <f>估价对象房地状况!G19</f>
        <v>估价对象所在区域公共配套设施齐备情况</v>
      </c>
      <c r="C85" s="2770"/>
      <c r="D85" s="1289">
        <f t="shared" si="26"/>
        <v>0</v>
      </c>
      <c r="E85" s="826"/>
      <c r="F85" s="2503"/>
      <c r="G85" s="1287"/>
      <c r="H85" s="1291" t="str">
        <f t="shared" si="27"/>
        <v>——</v>
      </c>
      <c r="I85" s="820">
        <v>0.06</v>
      </c>
      <c r="J85" s="1288">
        <f t="shared" si="28"/>
        <v>0</v>
      </c>
      <c r="K85" s="1288">
        <f t="shared" si="29"/>
        <v>0</v>
      </c>
      <c r="L85" s="1288">
        <v>0</v>
      </c>
      <c r="M85" s="1288">
        <f t="shared" si="30"/>
        <v>0</v>
      </c>
      <c r="N85" s="1288">
        <f t="shared" si="30"/>
        <v>0</v>
      </c>
      <c r="Z85" s="2720"/>
      <c r="AA85" s="2796"/>
      <c r="AG85" s="1375"/>
      <c r="AK85" s="2796"/>
    </row>
    <row r="86" spans="1:37" ht="25.5">
      <c r="A86" s="2878" t="s">
        <v>2951</v>
      </c>
      <c r="B86" s="1728" t="str">
        <f>估价对象房地状况!G20</f>
        <v>估价对象所在区域基础设施水平</v>
      </c>
      <c r="C86" s="2770"/>
      <c r="D86" s="1289">
        <f t="shared" si="26"/>
        <v>0</v>
      </c>
      <c r="E86" s="826"/>
      <c r="F86" s="2503"/>
      <c r="G86" s="1287"/>
      <c r="H86" s="1291" t="str">
        <f t="shared" si="27"/>
        <v>——</v>
      </c>
      <c r="I86" s="820">
        <v>0.15</v>
      </c>
      <c r="J86" s="1288">
        <f t="shared" si="28"/>
        <v>0</v>
      </c>
      <c r="K86" s="1288">
        <f t="shared" si="29"/>
        <v>0</v>
      </c>
      <c r="L86" s="1288">
        <v>0</v>
      </c>
      <c r="M86" s="1288">
        <f t="shared" si="30"/>
        <v>0</v>
      </c>
      <c r="N86" s="1288">
        <f t="shared" si="30"/>
        <v>0</v>
      </c>
      <c r="Z86" s="2720"/>
      <c r="AA86" s="2796"/>
      <c r="AG86" s="1375"/>
      <c r="AK86" s="2796"/>
    </row>
    <row r="87" spans="1:37" ht="24">
      <c r="A87" s="2878" t="s">
        <v>2948</v>
      </c>
      <c r="B87" s="2884" t="s">
        <v>2962</v>
      </c>
      <c r="C87" s="2770"/>
      <c r="D87" s="1289">
        <f t="shared" si="26"/>
        <v>0</v>
      </c>
      <c r="E87" s="826"/>
      <c r="F87" s="2503"/>
      <c r="G87" s="1287"/>
      <c r="H87" s="1291" t="str">
        <f t="shared" si="27"/>
        <v>——</v>
      </c>
      <c r="I87" s="820">
        <v>0.05</v>
      </c>
      <c r="J87" s="1288">
        <f t="shared" si="28"/>
        <v>0</v>
      </c>
      <c r="K87" s="1288">
        <f t="shared" si="29"/>
        <v>0</v>
      </c>
      <c r="L87" s="1288">
        <v>0</v>
      </c>
      <c r="M87" s="1288">
        <f t="shared" si="30"/>
        <v>0</v>
      </c>
      <c r="N87" s="1288">
        <f t="shared" si="30"/>
        <v>0</v>
      </c>
      <c r="Z87" s="2720"/>
      <c r="AA87" s="2796"/>
      <c r="AG87" s="1375"/>
      <c r="AK87" s="2796"/>
    </row>
    <row r="88" spans="1:37" ht="39" thickBot="1">
      <c r="A88" s="2886" t="s">
        <v>2963</v>
      </c>
      <c r="B88" s="2891" t="str">
        <f>估价对象房地状况!G18</f>
        <v>该园区内是否有污染型企业，绿化情况，卫生条件，整体环境状况判断</v>
      </c>
      <c r="C88" s="2770"/>
      <c r="D88" s="1289">
        <f t="shared" si="26"/>
        <v>0</v>
      </c>
      <c r="E88" s="827"/>
      <c r="F88" s="2503"/>
      <c r="G88" s="1287"/>
      <c r="H88" s="1291" t="str">
        <f t="shared" si="27"/>
        <v>——</v>
      </c>
      <c r="I88" s="824">
        <v>0.06</v>
      </c>
      <c r="J88" s="1288">
        <f t="shared" si="28"/>
        <v>0</v>
      </c>
      <c r="K88" s="1288">
        <f t="shared" si="29"/>
        <v>0</v>
      </c>
      <c r="L88" s="1288">
        <v>0</v>
      </c>
      <c r="M88" s="1288">
        <f t="shared" si="30"/>
        <v>0</v>
      </c>
      <c r="N88" s="1288">
        <f t="shared" si="30"/>
        <v>0</v>
      </c>
      <c r="Z88" s="2720"/>
      <c r="AA88" s="2796"/>
      <c r="AG88" s="1375"/>
      <c r="AK88" s="2796"/>
    </row>
    <row r="90" spans="1:37">
      <c r="A90" s="3169" t="s">
        <v>2964</v>
      </c>
      <c r="B90" s="3169"/>
      <c r="C90" s="3169"/>
      <c r="D90" s="3169"/>
      <c r="E90" s="3169"/>
      <c r="F90" s="3169"/>
      <c r="G90" s="3169"/>
      <c r="H90" s="3169"/>
      <c r="I90" s="3169"/>
      <c r="J90" s="3169"/>
      <c r="K90" s="2892"/>
      <c r="L90" s="2892"/>
      <c r="M90" s="2892"/>
      <c r="N90" s="2892"/>
    </row>
    <row r="91" spans="1:37">
      <c r="A91" s="3171" t="s">
        <v>2965</v>
      </c>
      <c r="B91" s="3171" t="s">
        <v>2966</v>
      </c>
      <c r="C91" s="2846" t="s">
        <v>2967</v>
      </c>
      <c r="D91" s="2847"/>
      <c r="E91" s="2847"/>
      <c r="F91" s="2847"/>
      <c r="G91" s="2847"/>
      <c r="H91" s="2847"/>
      <c r="I91" s="2847"/>
      <c r="J91" s="2893"/>
      <c r="K91" s="2894"/>
      <c r="L91" s="2894"/>
      <c r="M91" s="2894"/>
      <c r="N91" s="2894"/>
    </row>
    <row r="92" spans="1:37">
      <c r="A92" s="3171"/>
      <c r="B92" s="3171"/>
      <c r="C92" s="945" t="s">
        <v>2833</v>
      </c>
      <c r="D92" s="945" t="s">
        <v>2834</v>
      </c>
      <c r="E92" s="945" t="s">
        <v>2835</v>
      </c>
      <c r="F92" s="945" t="s">
        <v>2836</v>
      </c>
      <c r="G92" s="945" t="s">
        <v>2837</v>
      </c>
      <c r="H92" s="945" t="s">
        <v>2838</v>
      </c>
      <c r="I92" s="945" t="s">
        <v>2839</v>
      </c>
      <c r="J92" s="945" t="s">
        <v>2840</v>
      </c>
      <c r="K92" s="945" t="s">
        <v>2841</v>
      </c>
      <c r="L92" s="945" t="s">
        <v>2842</v>
      </c>
      <c r="M92" s="945" t="s">
        <v>2843</v>
      </c>
      <c r="N92" s="945" t="s">
        <v>2844</v>
      </c>
    </row>
    <row r="93" spans="1:37">
      <c r="A93" s="3172" t="s">
        <v>2968</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173"/>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173"/>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173"/>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173"/>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173"/>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173"/>
      <c r="B99" s="2895" t="s">
        <v>2849</v>
      </c>
      <c r="C99" s="2897">
        <f>$I$3</f>
        <v>0</v>
      </c>
      <c r="D99" s="2897">
        <f t="shared" ref="D99:M99" si="31">$I$3</f>
        <v>0</v>
      </c>
      <c r="E99" s="2897">
        <f t="shared" si="31"/>
        <v>0</v>
      </c>
      <c r="F99" s="2897">
        <f t="shared" si="31"/>
        <v>0</v>
      </c>
      <c r="G99" s="2897">
        <f t="shared" si="31"/>
        <v>0</v>
      </c>
      <c r="H99" s="2897">
        <f t="shared" si="31"/>
        <v>0</v>
      </c>
      <c r="I99" s="2897">
        <f t="shared" si="31"/>
        <v>0</v>
      </c>
      <c r="J99" s="2897">
        <f t="shared" si="31"/>
        <v>0</v>
      </c>
      <c r="K99" s="2897">
        <f t="shared" si="31"/>
        <v>0</v>
      </c>
      <c r="L99" s="2897">
        <f t="shared" si="31"/>
        <v>0</v>
      </c>
      <c r="M99" s="2897">
        <f t="shared" si="31"/>
        <v>0</v>
      </c>
      <c r="N99" s="2897">
        <f>$I$3</f>
        <v>0</v>
      </c>
    </row>
    <row r="100" spans="1:14">
      <c r="A100" s="3174"/>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172" t="s">
        <v>2969</v>
      </c>
      <c r="B101" s="2899" t="s">
        <v>2970</v>
      </c>
      <c r="C101" s="2900">
        <f>$G$3</f>
        <v>3.71</v>
      </c>
      <c r="D101" s="2900">
        <f t="shared" ref="D101:N101" si="32">$G$3</f>
        <v>3.71</v>
      </c>
      <c r="E101" s="2900">
        <f t="shared" si="32"/>
        <v>3.71</v>
      </c>
      <c r="F101" s="2900">
        <f t="shared" si="32"/>
        <v>3.71</v>
      </c>
      <c r="G101" s="2900">
        <f t="shared" si="32"/>
        <v>3.71</v>
      </c>
      <c r="H101" s="2900">
        <f t="shared" si="32"/>
        <v>3.71</v>
      </c>
      <c r="I101" s="2900">
        <f t="shared" si="32"/>
        <v>3.71</v>
      </c>
      <c r="J101" s="2900">
        <f t="shared" si="32"/>
        <v>3.71</v>
      </c>
      <c r="K101" s="2900">
        <f t="shared" si="32"/>
        <v>3.71</v>
      </c>
      <c r="L101" s="2900">
        <f t="shared" si="32"/>
        <v>3.71</v>
      </c>
      <c r="M101" s="2900">
        <f t="shared" si="32"/>
        <v>3.71</v>
      </c>
      <c r="N101" s="2900">
        <f t="shared" si="32"/>
        <v>3.71</v>
      </c>
    </row>
    <row r="102" spans="1:14">
      <c r="A102" s="3173"/>
      <c r="B102" s="2895">
        <v>1</v>
      </c>
      <c r="C102" s="2896">
        <f>1.9362/C101</f>
        <v>0.52188679245283021</v>
      </c>
      <c r="D102" s="2896">
        <f>1.9362/D101</f>
        <v>0.52188679245283021</v>
      </c>
      <c r="E102" s="2896">
        <f>1.8629/E101</f>
        <v>0.50212938005390839</v>
      </c>
      <c r="F102" s="2896">
        <f>1.8629/F101</f>
        <v>0.50212938005390839</v>
      </c>
      <c r="G102" s="2896">
        <f>1.8629/G101</f>
        <v>0.50212938005390839</v>
      </c>
      <c r="H102" s="2896">
        <f>1.8629/H101</f>
        <v>0.50212938005390839</v>
      </c>
      <c r="I102" s="2896">
        <f>1.8629/I101</f>
        <v>0.50212938005390839</v>
      </c>
      <c r="J102" s="2896">
        <f>1.942/J101</f>
        <v>0.52345013477088953</v>
      </c>
      <c r="K102" s="2896">
        <f>1.942/K101</f>
        <v>0.52345013477088953</v>
      </c>
      <c r="L102" s="2896">
        <f>1.942/L101</f>
        <v>0.52345013477088953</v>
      </c>
      <c r="M102" s="2896">
        <f>1.942/M101</f>
        <v>0.52345013477088953</v>
      </c>
      <c r="N102" s="2896">
        <f>1.942/N101</f>
        <v>0.52345013477088953</v>
      </c>
    </row>
    <row r="103" spans="1:14">
      <c r="A103" s="3173"/>
      <c r="B103" s="2895">
        <v>2</v>
      </c>
      <c r="C103" s="2896">
        <f>1.4198/C101</f>
        <v>0.38269541778975741</v>
      </c>
      <c r="D103" s="2896">
        <f>1.4198/D101</f>
        <v>0.38269541778975741</v>
      </c>
      <c r="E103" s="2896">
        <f>1.3372/E101</f>
        <v>0.36043126684636118</v>
      </c>
      <c r="F103" s="2896">
        <f>1.3372/F101</f>
        <v>0.36043126684636118</v>
      </c>
      <c r="G103" s="2896">
        <f>1.3372/G101</f>
        <v>0.36043126684636118</v>
      </c>
      <c r="H103" s="2896">
        <f>1.3372/H101</f>
        <v>0.36043126684636118</v>
      </c>
      <c r="I103" s="2896">
        <f>1.3372/I101</f>
        <v>0.36043126684636118</v>
      </c>
      <c r="J103" s="2896">
        <f>1.2799/J101</f>
        <v>0.34498652291105125</v>
      </c>
      <c r="K103" s="2896">
        <f>1.2799/K101</f>
        <v>0.34498652291105125</v>
      </c>
      <c r="L103" s="2896">
        <f>1.2799/L101</f>
        <v>0.34498652291105125</v>
      </c>
      <c r="M103" s="2896">
        <f>1.2799/M101</f>
        <v>0.34498652291105125</v>
      </c>
      <c r="N103" s="2896">
        <f>1.2799/N101</f>
        <v>0.34498652291105125</v>
      </c>
    </row>
    <row r="104" spans="1:14">
      <c r="A104" s="3173"/>
      <c r="B104" s="2895">
        <v>3</v>
      </c>
      <c r="C104" s="2896">
        <f>1.1594/C101</f>
        <v>0.31250673854447442</v>
      </c>
      <c r="D104" s="2896">
        <f>1.1594/D101</f>
        <v>0.31250673854447442</v>
      </c>
      <c r="E104" s="2896">
        <f>1.0788/E101</f>
        <v>0.29078167115902964</v>
      </c>
      <c r="F104" s="2896">
        <f>1.0788/F101</f>
        <v>0.29078167115902964</v>
      </c>
      <c r="G104" s="2896">
        <f>1.0788/G101</f>
        <v>0.29078167115902964</v>
      </c>
      <c r="H104" s="2896">
        <f>1.0788/H101</f>
        <v>0.29078167115902964</v>
      </c>
      <c r="I104" s="2896">
        <f>1.0788/I101</f>
        <v>0.29078167115902964</v>
      </c>
      <c r="J104" s="2896">
        <f>1.0072/J101</f>
        <v>0.27148247978436663</v>
      </c>
      <c r="K104" s="2896">
        <f>1.0072/K101</f>
        <v>0.27148247978436663</v>
      </c>
      <c r="L104" s="2896">
        <f>1.0072/L101</f>
        <v>0.27148247978436663</v>
      </c>
      <c r="M104" s="2896">
        <f>1.0072/M101</f>
        <v>0.27148247978436663</v>
      </c>
      <c r="N104" s="2896">
        <f>1.0072/N101</f>
        <v>0.27148247978436663</v>
      </c>
    </row>
    <row r="105" spans="1:14">
      <c r="A105" s="3173"/>
      <c r="B105" s="2895">
        <v>4</v>
      </c>
      <c r="C105" s="2896">
        <f>0.9622/C101</f>
        <v>0.25935309973045823</v>
      </c>
      <c r="D105" s="2896">
        <f>0.9622/D101</f>
        <v>0.25935309973045823</v>
      </c>
      <c r="E105" s="2896">
        <f>0.8656/E101</f>
        <v>0.23331536388140162</v>
      </c>
      <c r="F105" s="2896">
        <f>0.8656/F101</f>
        <v>0.23331536388140162</v>
      </c>
      <c r="G105" s="2896">
        <f>0.8656/G101</f>
        <v>0.23331536388140162</v>
      </c>
      <c r="H105" s="2896">
        <f>0.8656/H101</f>
        <v>0.23331536388140162</v>
      </c>
      <c r="I105" s="2896">
        <f>0.8656/I101</f>
        <v>0.23331536388140162</v>
      </c>
      <c r="J105" s="2896">
        <f>0.7525/J101</f>
        <v>0.20283018867924527</v>
      </c>
      <c r="K105" s="2896">
        <f>0.7525/K101</f>
        <v>0.20283018867924527</v>
      </c>
      <c r="L105" s="2896">
        <f>0.7525/L101</f>
        <v>0.20283018867924527</v>
      </c>
      <c r="M105" s="2896">
        <f>0.7525/M101</f>
        <v>0.20283018867924527</v>
      </c>
      <c r="N105" s="2896">
        <f>0.7525/N101</f>
        <v>0.20283018867924527</v>
      </c>
    </row>
    <row r="106" spans="1:14">
      <c r="A106" s="3173"/>
      <c r="B106" s="2895">
        <v>5</v>
      </c>
      <c r="C106" s="2896">
        <f>0.8417/C101</f>
        <v>0.22687331536388142</v>
      </c>
      <c r="D106" s="2896">
        <f>0.8417/D101</f>
        <v>0.22687331536388142</v>
      </c>
      <c r="E106" s="2896">
        <f>0.7371/E101</f>
        <v>0.19867924528301886</v>
      </c>
      <c r="F106" s="2896">
        <f>0.7371/F101</f>
        <v>0.19867924528301886</v>
      </c>
      <c r="G106" s="2896">
        <f>0.7371/G101</f>
        <v>0.19867924528301886</v>
      </c>
      <c r="H106" s="2896">
        <f>0.7371/H101</f>
        <v>0.19867924528301886</v>
      </c>
      <c r="I106" s="2896">
        <f>0.7371/I101</f>
        <v>0.19867924528301886</v>
      </c>
      <c r="J106" s="2896">
        <f>0.5659/J101</f>
        <v>0.15253369272237197</v>
      </c>
      <c r="K106" s="2896">
        <f>0.5659/K101</f>
        <v>0.15253369272237197</v>
      </c>
      <c r="L106" s="2896">
        <f>0.5659/L101</f>
        <v>0.15253369272237197</v>
      </c>
      <c r="M106" s="2896">
        <f>0.5659/M101</f>
        <v>0.15253369272237197</v>
      </c>
      <c r="N106" s="2896">
        <f>0.5659/N101</f>
        <v>0.15253369272237197</v>
      </c>
    </row>
    <row r="107" spans="1:14">
      <c r="A107" s="3173"/>
      <c r="B107" s="2895">
        <v>6</v>
      </c>
      <c r="C107" s="2896">
        <f>0.7608/C101</f>
        <v>0.20506738544474395</v>
      </c>
      <c r="D107" s="2896">
        <f>0.7608/D101</f>
        <v>0.20506738544474395</v>
      </c>
      <c r="E107" s="2896">
        <f>0.6482/E101</f>
        <v>0.17471698113207548</v>
      </c>
      <c r="F107" s="2896">
        <f>0.6482/F101</f>
        <v>0.17471698113207548</v>
      </c>
      <c r="G107" s="2896">
        <f>0.6482/G101</f>
        <v>0.17471698113207548</v>
      </c>
      <c r="H107" s="2896">
        <f>0.6482/H101</f>
        <v>0.17471698113207548</v>
      </c>
      <c r="I107" s="2896">
        <f>0.6482/I101</f>
        <v>0.17471698113207548</v>
      </c>
      <c r="J107" s="2896">
        <f>0.4525/J101</f>
        <v>0.12196765498652291</v>
      </c>
      <c r="K107" s="2896">
        <f>0.4525/K101</f>
        <v>0.12196765498652291</v>
      </c>
      <c r="L107" s="2896">
        <f>0.4525/L101</f>
        <v>0.12196765498652291</v>
      </c>
      <c r="M107" s="2896">
        <f>0.4525/M101</f>
        <v>0.12196765498652291</v>
      </c>
      <c r="N107" s="2896">
        <f>0.4525/N101</f>
        <v>0.12196765498652291</v>
      </c>
    </row>
    <row r="108" spans="1:14">
      <c r="A108" s="3173"/>
      <c r="B108" s="3098" t="s">
        <v>2971</v>
      </c>
      <c r="C108" s="2897">
        <f>C99</f>
        <v>0</v>
      </c>
      <c r="D108" s="2897">
        <f t="shared" ref="D108:N108" si="33">D99</f>
        <v>0</v>
      </c>
      <c r="E108" s="2897">
        <f t="shared" si="33"/>
        <v>0</v>
      </c>
      <c r="F108" s="2897">
        <f t="shared" si="33"/>
        <v>0</v>
      </c>
      <c r="G108" s="2897">
        <f t="shared" si="33"/>
        <v>0</v>
      </c>
      <c r="H108" s="2897">
        <f t="shared" si="33"/>
        <v>0</v>
      </c>
      <c r="I108" s="2897">
        <f t="shared" si="33"/>
        <v>0</v>
      </c>
      <c r="J108" s="2897">
        <f t="shared" si="33"/>
        <v>0</v>
      </c>
      <c r="K108" s="2897">
        <f t="shared" si="33"/>
        <v>0</v>
      </c>
      <c r="L108" s="2897">
        <f t="shared" si="33"/>
        <v>0</v>
      </c>
      <c r="M108" s="2897">
        <f t="shared" si="33"/>
        <v>0</v>
      </c>
      <c r="N108" s="2897">
        <f t="shared" si="33"/>
        <v>0</v>
      </c>
    </row>
    <row r="109" spans="1:14">
      <c r="A109" s="3174"/>
      <c r="B109" s="3099"/>
      <c r="C109" s="2898">
        <f>(-0.163*(C108^2)-0.59*C108+7617)*(10^(-4))/C101</f>
        <v>0.2053099730458221</v>
      </c>
      <c r="D109" s="2898">
        <f>(-0.163*(D108^2)-0.59*D108+7617)*(10^(-4))/D101</f>
        <v>0.2053099730458221</v>
      </c>
      <c r="E109" s="2898">
        <f>(-0.161*(E108^2)-7.509*E108+6533)*(10^(-4))/E101</f>
        <v>0.17609164420485174</v>
      </c>
      <c r="F109" s="2898">
        <f>(-0.161*(F108^2)-7.509*F108+6533)*(10^(-4))/F101</f>
        <v>0.17609164420485174</v>
      </c>
      <c r="G109" s="2898">
        <f>(-0.161*(G108^2)-7.509*G108+6533)*(10^(-4))/G101</f>
        <v>0.17609164420485174</v>
      </c>
      <c r="H109" s="2898">
        <f>(-0.161*(H108^2)-7.509*H108+6533)*(10^(-4))/H101</f>
        <v>0.17609164420485174</v>
      </c>
      <c r="I109" s="2898">
        <f>(-0.161*(I108^2)-7.509*I108+6533)*(10^(-4))/I101</f>
        <v>0.17609164420485174</v>
      </c>
      <c r="J109" s="2898">
        <f>(-0.214*(J108^2)-21.991*J108+4665)*(10^(-4))/J101</f>
        <v>0.1257412398921833</v>
      </c>
      <c r="K109" s="2898">
        <f>(-0.214*(K108^2)-21.991*K108+4665)*(10^(-4))/K101</f>
        <v>0.1257412398921833</v>
      </c>
      <c r="L109" s="2898">
        <f>(-0.214*(L108^2)-21.991*L108+4665)*(10^(-4))/L101</f>
        <v>0.1257412398921833</v>
      </c>
      <c r="M109" s="2898">
        <f>(-0.214*(M108^2)-21.991*M108+4665)*(10^(-4))/M101</f>
        <v>0.1257412398921833</v>
      </c>
      <c r="N109" s="2898">
        <f>(-0.214*(N108^2)-21.991*N108+4665)*(10^(-4))/N101</f>
        <v>0.1257412398921833</v>
      </c>
    </row>
    <row r="110" spans="1:14">
      <c r="A110" s="3170" t="s">
        <v>2972</v>
      </c>
      <c r="B110" s="3170"/>
      <c r="C110" s="3170"/>
      <c r="D110" s="3170"/>
      <c r="E110" s="3170"/>
      <c r="F110" s="3170"/>
      <c r="G110" s="3170"/>
      <c r="H110" s="3170"/>
      <c r="I110" s="3170"/>
      <c r="J110" s="3170"/>
      <c r="K110" s="2901"/>
      <c r="L110" s="2901"/>
      <c r="M110" s="2901"/>
      <c r="N110" s="2901"/>
    </row>
    <row r="112" spans="1:14" ht="13.5" thickBot="1"/>
    <row r="113" spans="1:13" ht="25.5" thickBot="1">
      <c r="A113" s="903" t="s">
        <v>2973</v>
      </c>
      <c r="B113" s="1290">
        <f>G3</f>
        <v>3.71</v>
      </c>
      <c r="C113" s="904" t="s">
        <v>2974</v>
      </c>
      <c r="D113" s="905">
        <f>SUMPRODUCT((A115:A118=F113)*(B114:M114=H113)*B115:M118)</f>
        <v>0.84509999999999996</v>
      </c>
      <c r="E113" s="2724" t="s">
        <v>2806</v>
      </c>
      <c r="F113" s="2903" t="str">
        <f>E2</f>
        <v>住宅</v>
      </c>
      <c r="G113" s="2724" t="s">
        <v>2807</v>
      </c>
      <c r="H113" s="2903" t="str">
        <f>G2</f>
        <v>三级</v>
      </c>
      <c r="I113" s="2724"/>
      <c r="J113" s="2904"/>
      <c r="K113" s="2904"/>
      <c r="L113" s="2904"/>
      <c r="M113" s="2904"/>
    </row>
    <row r="114" spans="1:13">
      <c r="A114" s="908"/>
      <c r="B114" s="2905" t="s">
        <v>2975</v>
      </c>
      <c r="C114" s="2905" t="s">
        <v>2976</v>
      </c>
      <c r="D114" s="2905" t="s">
        <v>2977</v>
      </c>
      <c r="E114" s="2906" t="s">
        <v>2978</v>
      </c>
      <c r="F114" s="2906" t="s">
        <v>2979</v>
      </c>
      <c r="G114" s="2906" t="s">
        <v>2980</v>
      </c>
      <c r="H114" s="2907" t="s">
        <v>2981</v>
      </c>
      <c r="I114" s="2907" t="s">
        <v>2982</v>
      </c>
      <c r="J114" s="2908" t="s">
        <v>2983</v>
      </c>
      <c r="K114" s="2908" t="s">
        <v>2984</v>
      </c>
      <c r="L114" s="2908" t="s">
        <v>2985</v>
      </c>
      <c r="M114" s="2909" t="s">
        <v>2986</v>
      </c>
    </row>
    <row r="115" spans="1:13">
      <c r="A115" s="909" t="s">
        <v>2871</v>
      </c>
      <c r="B115" s="910">
        <f>ROUND(0.9335-0.0094*B113,4)</f>
        <v>0.89859999999999995</v>
      </c>
      <c r="C115" s="910">
        <f>B115</f>
        <v>0.89859999999999995</v>
      </c>
      <c r="D115" s="910">
        <f>ROUND(0.8331-0.0109*B113,4)</f>
        <v>0.79269999999999996</v>
      </c>
      <c r="E115" s="910">
        <f>D115</f>
        <v>0.79269999999999996</v>
      </c>
      <c r="F115" s="910">
        <f>E115</f>
        <v>0.79269999999999996</v>
      </c>
      <c r="G115" s="910">
        <f>F115</f>
        <v>0.79269999999999996</v>
      </c>
      <c r="H115" s="910">
        <f>G115</f>
        <v>0.79269999999999996</v>
      </c>
      <c r="I115" s="910">
        <f>ROUND(0.689-0.0155*B113,4)</f>
        <v>0.63149999999999995</v>
      </c>
      <c r="J115" s="910">
        <f t="shared" ref="J115:M118" si="34">I115</f>
        <v>0.63149999999999995</v>
      </c>
      <c r="K115" s="910">
        <f t="shared" si="34"/>
        <v>0.63149999999999995</v>
      </c>
      <c r="L115" s="910">
        <f t="shared" si="34"/>
        <v>0.63149999999999995</v>
      </c>
      <c r="M115" s="911">
        <f t="shared" si="34"/>
        <v>0.63149999999999995</v>
      </c>
    </row>
    <row r="116" spans="1:13">
      <c r="A116" s="909" t="s">
        <v>2872</v>
      </c>
      <c r="B116" s="910">
        <f>ROUND(0.949-0.012*B113,4)</f>
        <v>0.90449999999999997</v>
      </c>
      <c r="C116" s="910">
        <f>B116</f>
        <v>0.90449999999999997</v>
      </c>
      <c r="D116" s="910">
        <f>ROUND(0.8567-0.013*B113,4)</f>
        <v>0.8085</v>
      </c>
      <c r="E116" s="910">
        <f t="shared" ref="E116:H117" si="35">D116</f>
        <v>0.8085</v>
      </c>
      <c r="F116" s="910">
        <f t="shared" si="35"/>
        <v>0.8085</v>
      </c>
      <c r="G116" s="910">
        <f t="shared" si="35"/>
        <v>0.8085</v>
      </c>
      <c r="H116" s="910">
        <f t="shared" si="35"/>
        <v>0.8085</v>
      </c>
      <c r="I116" s="910">
        <f>ROUND(0.7694-0.014*B113,4)</f>
        <v>0.71750000000000003</v>
      </c>
      <c r="J116" s="910">
        <f t="shared" si="34"/>
        <v>0.71750000000000003</v>
      </c>
      <c r="K116" s="910">
        <f t="shared" si="34"/>
        <v>0.71750000000000003</v>
      </c>
      <c r="L116" s="910">
        <f t="shared" si="34"/>
        <v>0.71750000000000003</v>
      </c>
      <c r="M116" s="911">
        <f t="shared" si="34"/>
        <v>0.71750000000000003</v>
      </c>
    </row>
    <row r="117" spans="1:13">
      <c r="A117" s="909" t="s">
        <v>2873</v>
      </c>
      <c r="B117" s="910">
        <f>ROUND(0.8808-0.006*B113,4)</f>
        <v>0.85850000000000004</v>
      </c>
      <c r="C117" s="910">
        <f>B117</f>
        <v>0.85850000000000004</v>
      </c>
      <c r="D117" s="910">
        <f>ROUND(0.8748-0.008*B113,4)</f>
        <v>0.84509999999999996</v>
      </c>
      <c r="E117" s="910">
        <f t="shared" si="35"/>
        <v>0.84509999999999996</v>
      </c>
      <c r="F117" s="910">
        <f t="shared" si="35"/>
        <v>0.84509999999999996</v>
      </c>
      <c r="G117" s="910">
        <f t="shared" si="35"/>
        <v>0.84509999999999996</v>
      </c>
      <c r="H117" s="910">
        <f t="shared" si="35"/>
        <v>0.84509999999999996</v>
      </c>
      <c r="I117" s="910">
        <f>ROUND(0.7412-0.0095*B113,4)</f>
        <v>0.70599999999999996</v>
      </c>
      <c r="J117" s="910">
        <f t="shared" si="34"/>
        <v>0.70599999999999996</v>
      </c>
      <c r="K117" s="910">
        <f t="shared" si="34"/>
        <v>0.70599999999999996</v>
      </c>
      <c r="L117" s="910">
        <f t="shared" si="34"/>
        <v>0.70599999999999996</v>
      </c>
      <c r="M117" s="911">
        <f t="shared" si="34"/>
        <v>0.70599999999999996</v>
      </c>
    </row>
    <row r="118" spans="1:13" ht="13.5" thickBot="1">
      <c r="A118" s="714" t="s">
        <v>2874</v>
      </c>
      <c r="B118" s="912">
        <f>ROUND(0.7275-0.01*B113,4)</f>
        <v>0.69040000000000001</v>
      </c>
      <c r="C118" s="912">
        <f>B118</f>
        <v>0.69040000000000001</v>
      </c>
      <c r="D118" s="912">
        <f>ROUND(0.7043-0.012*B113,4)</f>
        <v>0.65980000000000005</v>
      </c>
      <c r="E118" s="912">
        <f>D118</f>
        <v>0.65980000000000005</v>
      </c>
      <c r="F118" s="912">
        <f>E118</f>
        <v>0.65980000000000005</v>
      </c>
      <c r="G118" s="912">
        <f>ROUND(0.6299-0.0122*B113,4)</f>
        <v>0.58460000000000001</v>
      </c>
      <c r="H118" s="912">
        <f>G118</f>
        <v>0.58460000000000001</v>
      </c>
      <c r="I118" s="912">
        <f>ROUND(0.5667-0.0136*B113,4)</f>
        <v>0.51619999999999999</v>
      </c>
      <c r="J118" s="912">
        <f t="shared" si="34"/>
        <v>0.51619999999999999</v>
      </c>
      <c r="K118" s="912">
        <f t="shared" si="34"/>
        <v>0.51619999999999999</v>
      </c>
      <c r="L118" s="912">
        <f t="shared" si="34"/>
        <v>0.51619999999999999</v>
      </c>
      <c r="M118" s="913">
        <f t="shared" si="34"/>
        <v>0.51619999999999999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17" sqref="C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4" t="s">
        <v>2521</v>
      </c>
      <c r="C1" s="1637" t="s">
        <v>2522</v>
      </c>
      <c r="D1" s="1624" t="s">
        <v>3802</v>
      </c>
      <c r="E1" s="2585"/>
      <c r="F1" s="2586" t="s">
        <v>2523</v>
      </c>
      <c r="G1" s="1634" t="s">
        <v>2524</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5585</v>
      </c>
      <c r="C2" s="2588" t="s">
        <v>70</v>
      </c>
      <c r="D2" s="1368" t="e">
        <f ca="1">SUMIF(INDIRECT("'"&amp;F2&amp;"'"&amp;"!A:A"),"承租人权益价值",INDIRECT("'"&amp;F2&amp;"'"&amp;"!c:c"))</f>
        <v>#REF!</v>
      </c>
      <c r="E2" s="2589" t="s">
        <v>2525</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f>IF(C2="——",C49,ROUND(B2*10000/D3,0))</f>
        <v>204533</v>
      </c>
      <c r="C3" s="400" t="s">
        <v>2526</v>
      </c>
      <c r="D3" s="399">
        <f>IF(D1="",'数据-汇总表'!E3,SUMIF('数据-汇总表'!$C19:$C33,D1,'数据-汇总表'!$E19:$E33))</f>
        <v>273.05</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2527</v>
      </c>
      <c r="B4" s="402"/>
      <c r="C4" s="3205" t="s">
        <v>2528</v>
      </c>
      <c r="D4" s="3206"/>
      <c r="E4" s="3207" t="s">
        <v>2529</v>
      </c>
      <c r="F4" s="3208"/>
      <c r="G4" s="3205" t="s">
        <v>2530</v>
      </c>
      <c r="H4" s="3206"/>
      <c r="I4" s="3205" t="s">
        <v>2531</v>
      </c>
      <c r="J4" s="3206"/>
      <c r="K4" s="2598" t="s">
        <v>2532</v>
      </c>
      <c r="L4" s="1133"/>
      <c r="M4" s="1134"/>
      <c r="N4" s="1134"/>
      <c r="O4" s="1134"/>
      <c r="P4" s="3209" t="s">
        <v>2533</v>
      </c>
      <c r="Q4" s="3210"/>
      <c r="R4" s="3192" t="s">
        <v>2529</v>
      </c>
      <c r="S4" s="3193"/>
      <c r="T4" s="3192" t="s">
        <v>2530</v>
      </c>
      <c r="U4" s="3193"/>
      <c r="V4" s="3217" t="s">
        <v>2531</v>
      </c>
      <c r="W4" s="3217"/>
      <c r="X4" s="1816"/>
      <c r="Y4" s="3192" t="s">
        <v>2533</v>
      </c>
      <c r="Z4" s="3193"/>
      <c r="AA4" s="3187" t="s">
        <v>2529</v>
      </c>
      <c r="AB4" s="3187" t="s">
        <v>2530</v>
      </c>
      <c r="AC4" s="3187" t="s">
        <v>2531</v>
      </c>
    </row>
    <row r="5" spans="1:29" ht="15">
      <c r="A5" s="404"/>
      <c r="B5" s="405"/>
      <c r="C5" s="3198" t="s">
        <v>3810</v>
      </c>
      <c r="D5" s="3199"/>
      <c r="E5" s="3196" t="s">
        <v>3832</v>
      </c>
      <c r="F5" s="3197"/>
      <c r="G5" s="3198" t="s">
        <v>3812</v>
      </c>
      <c r="H5" s="3199"/>
      <c r="I5" s="3198" t="s">
        <v>3813</v>
      </c>
      <c r="J5" s="3199"/>
      <c r="K5" s="2599"/>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00" t="s">
        <v>3811</v>
      </c>
      <c r="D6" s="3201"/>
      <c r="E6" s="3202" t="s">
        <v>2538</v>
      </c>
      <c r="F6" s="3203"/>
      <c r="G6" s="3200" t="s">
        <v>3811</v>
      </c>
      <c r="H6" s="3201"/>
      <c r="I6" s="3218" t="s">
        <v>2538</v>
      </c>
      <c r="J6" s="3201"/>
      <c r="K6" s="2599" t="s">
        <v>2539</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2540</v>
      </c>
      <c r="B7" s="409"/>
      <c r="C7" s="410">
        <f>'数据-取费表'!B2</f>
        <v>43430</v>
      </c>
      <c r="D7" s="411">
        <v>100</v>
      </c>
      <c r="E7" s="412">
        <v>43405</v>
      </c>
      <c r="F7" s="413">
        <f>SUMIF(58:58,YEAR(E7)&amp;"-"&amp;MONTH(E7),59:59)</f>
        <v>100</v>
      </c>
      <c r="G7" s="412">
        <v>43405</v>
      </c>
      <c r="H7" s="411">
        <f>SUMIF(58:58,YEAR(G7)&amp;"-"&amp;MONTH(G7),59:59)</f>
        <v>100</v>
      </c>
      <c r="I7" s="412">
        <v>43405</v>
      </c>
      <c r="J7" s="411">
        <f>SUMIF(58:58,YEAR(I7)&amp;"-"&amp;MONTH(I7),59:59)</f>
        <v>100</v>
      </c>
      <c r="K7" s="2600"/>
      <c r="L7" s="1135"/>
      <c r="M7" s="1136"/>
      <c r="N7" s="1136"/>
      <c r="O7" s="1136"/>
      <c r="P7" s="3190" t="s">
        <v>2541</v>
      </c>
      <c r="Q7" s="3219"/>
      <c r="R7" s="770" t="s">
        <v>23</v>
      </c>
      <c r="S7" s="771">
        <f t="shared" ref="S7:S15" si="0">F7</f>
        <v>100</v>
      </c>
      <c r="T7" s="770" t="s">
        <v>23</v>
      </c>
      <c r="U7" s="771">
        <f t="shared" ref="U7:U15" si="1">H7</f>
        <v>100</v>
      </c>
      <c r="V7" s="770" t="s">
        <v>23</v>
      </c>
      <c r="W7" s="771">
        <f t="shared" ref="W7:W15" si="2">J7</f>
        <v>100</v>
      </c>
      <c r="X7" s="772"/>
      <c r="Y7" s="3190" t="s">
        <v>2541</v>
      </c>
      <c r="Z7" s="3191"/>
      <c r="AA7" s="773">
        <f>D7/F7</f>
        <v>1</v>
      </c>
      <c r="AB7" s="773">
        <f>D7/H7</f>
        <v>1</v>
      </c>
      <c r="AC7" s="773">
        <f>D7/J7</f>
        <v>1</v>
      </c>
    </row>
    <row r="8" spans="1:29" s="117" customFormat="1" ht="15.75" thickBot="1">
      <c r="A8" s="408" t="s">
        <v>2542</v>
      </c>
      <c r="B8" s="409"/>
      <c r="C8" s="414" t="s">
        <v>2543</v>
      </c>
      <c r="D8" s="411">
        <v>100</v>
      </c>
      <c r="E8" s="414" t="s">
        <v>2543</v>
      </c>
      <c r="F8" s="413">
        <f>SUMIF(61:61,E8,62:62)-SUMIF(61:61,C8,62:62)+100</f>
        <v>100</v>
      </c>
      <c r="G8" s="414" t="s">
        <v>2543</v>
      </c>
      <c r="H8" s="411">
        <f>SUMIF(61:61,G8,62:62)-SUMIF(61:61,C8,62:62)+100</f>
        <v>100</v>
      </c>
      <c r="I8" s="414" t="s">
        <v>2543</v>
      </c>
      <c r="J8" s="411">
        <f>SUMIF(61:61,I8,62:62)-SUMIF(61:61,C8,62:62)+100</f>
        <v>100</v>
      </c>
      <c r="K8" s="2600"/>
      <c r="L8" s="1135"/>
      <c r="M8" s="1136"/>
      <c r="N8" s="1136"/>
      <c r="O8" s="1136"/>
      <c r="P8" s="3190" t="s">
        <v>2544</v>
      </c>
      <c r="Q8" s="3191"/>
      <c r="R8" s="770" t="s">
        <v>23</v>
      </c>
      <c r="S8" s="771">
        <f t="shared" si="0"/>
        <v>100</v>
      </c>
      <c r="T8" s="770" t="s">
        <v>23</v>
      </c>
      <c r="U8" s="771">
        <f t="shared" si="1"/>
        <v>100</v>
      </c>
      <c r="V8" s="770" t="s">
        <v>23</v>
      </c>
      <c r="W8" s="771">
        <f t="shared" si="2"/>
        <v>100</v>
      </c>
      <c r="X8" s="772"/>
      <c r="Y8" s="3190" t="s">
        <v>2544</v>
      </c>
      <c r="Z8" s="3191"/>
      <c r="AA8" s="773">
        <f t="shared" ref="AA8:AA19" si="3">D8/F8</f>
        <v>1</v>
      </c>
      <c r="AB8" s="773">
        <f t="shared" ref="AB8:AB19" si="4">D8/H8</f>
        <v>1</v>
      </c>
      <c r="AC8" s="773">
        <f t="shared" ref="AC8:AC19" si="5">D8/J8</f>
        <v>1</v>
      </c>
    </row>
    <row r="9" spans="1:29" s="117" customFormat="1">
      <c r="A9" s="415" t="s">
        <v>2545</v>
      </c>
      <c r="B9" s="71" t="s">
        <v>2546</v>
      </c>
      <c r="C9" s="2974" t="s">
        <v>3806</v>
      </c>
      <c r="D9" s="135">
        <v>100</v>
      </c>
      <c r="E9" s="417" t="s">
        <v>3047</v>
      </c>
      <c r="F9" s="418">
        <f>SUMIF(63:63,E9,64:64)-SUMIF(63:63,C9,64:64)+100</f>
        <v>100</v>
      </c>
      <c r="G9" s="417" t="s">
        <v>3047</v>
      </c>
      <c r="H9" s="135">
        <f>SUMIF(63:63,G9,64:64)-SUMIF(63:63,C9,64:64)+100</f>
        <v>100</v>
      </c>
      <c r="I9" s="417" t="s">
        <v>3047</v>
      </c>
      <c r="J9" s="135">
        <f>SUMIF(63:63,I9,64:64)-SUMIF(63:63,C9,64:64)+100</f>
        <v>100</v>
      </c>
      <c r="K9" s="2600"/>
      <c r="L9" s="1135"/>
      <c r="M9" s="1136"/>
      <c r="N9" s="1136"/>
      <c r="O9" s="1136"/>
      <c r="P9" s="3204" t="s">
        <v>2547</v>
      </c>
      <c r="Q9" s="1798" t="str">
        <f t="shared" ref="Q9:Q15" si="6">B9</f>
        <v>用途</v>
      </c>
      <c r="R9" s="770" t="s">
        <v>17</v>
      </c>
      <c r="S9" s="771">
        <f t="shared" si="0"/>
        <v>100</v>
      </c>
      <c r="T9" s="770" t="s">
        <v>17</v>
      </c>
      <c r="U9" s="771">
        <f t="shared" si="1"/>
        <v>100</v>
      </c>
      <c r="V9" s="770" t="s">
        <v>17</v>
      </c>
      <c r="W9" s="771">
        <f t="shared" si="2"/>
        <v>100</v>
      </c>
      <c r="X9" s="772"/>
      <c r="Y9" s="3044" t="s">
        <v>2548</v>
      </c>
      <c r="Z9" s="55" t="str">
        <f t="shared" ref="Z9:Z15" si="7">Q9</f>
        <v>用途</v>
      </c>
      <c r="AA9" s="773">
        <f t="shared" si="3"/>
        <v>1</v>
      </c>
      <c r="AB9" s="773">
        <f t="shared" si="4"/>
        <v>1</v>
      </c>
      <c r="AC9" s="773">
        <f t="shared" si="5"/>
        <v>1</v>
      </c>
    </row>
    <row r="10" spans="1:29" s="427" customFormat="1" ht="27">
      <c r="A10" s="421"/>
      <c r="B10" s="422" t="s">
        <v>2549</v>
      </c>
      <c r="C10" s="423" t="s">
        <v>3833</v>
      </c>
      <c r="D10" s="136">
        <v>100</v>
      </c>
      <c r="E10" s="424" t="s">
        <v>3834</v>
      </c>
      <c r="F10" s="425">
        <f>SUMIF(65:65,E10,66:66)-SUMIF(65:65,C10,66:66)+100</f>
        <v>99</v>
      </c>
      <c r="G10" s="423" t="s">
        <v>3833</v>
      </c>
      <c r="H10" s="136">
        <f>SUMIF(65:65,G10,66:66)-SUMIF(65:65,C10,66:66)+100</f>
        <v>100</v>
      </c>
      <c r="I10" s="423" t="s">
        <v>3834</v>
      </c>
      <c r="J10" s="136">
        <f>SUMIF(65:65,I10,66:66)-SUMIF(65:65,C10,66:66)+100</f>
        <v>99</v>
      </c>
      <c r="K10" s="426">
        <v>1</v>
      </c>
      <c r="L10" s="1138"/>
      <c r="M10" s="1139"/>
      <c r="N10" s="1139"/>
      <c r="O10" s="1139"/>
      <c r="P10" s="3204"/>
      <c r="Q10" s="1798" t="str">
        <f t="shared" si="6"/>
        <v>土地使用年限（年）</v>
      </c>
      <c r="R10" s="770" t="s">
        <v>17</v>
      </c>
      <c r="S10" s="771">
        <f t="shared" si="0"/>
        <v>99</v>
      </c>
      <c r="T10" s="770" t="s">
        <v>17</v>
      </c>
      <c r="U10" s="771">
        <f t="shared" si="1"/>
        <v>100</v>
      </c>
      <c r="V10" s="770" t="s">
        <v>17</v>
      </c>
      <c r="W10" s="771">
        <f t="shared" si="2"/>
        <v>99</v>
      </c>
      <c r="X10" s="772"/>
      <c r="Y10" s="3044"/>
      <c r="Z10" s="55" t="str">
        <f t="shared" si="7"/>
        <v>土地使用年限（年）</v>
      </c>
      <c r="AA10" s="773">
        <f t="shared" si="3"/>
        <v>1.0101010101010102</v>
      </c>
      <c r="AB10" s="773">
        <f t="shared" si="4"/>
        <v>1</v>
      </c>
      <c r="AC10" s="773">
        <f t="shared" si="5"/>
        <v>1.0101010101010102</v>
      </c>
    </row>
    <row r="11" spans="1:29" ht="15.75" thickBot="1">
      <c r="A11" s="428"/>
      <c r="B11" s="422" t="s">
        <v>2550</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204"/>
      <c r="Q11" s="1798" t="str">
        <f t="shared" si="6"/>
        <v>容积率</v>
      </c>
      <c r="R11" s="770" t="s">
        <v>21</v>
      </c>
      <c r="S11" s="771">
        <f t="shared" si="0"/>
        <v>100</v>
      </c>
      <c r="T11" s="770" t="s">
        <v>21</v>
      </c>
      <c r="U11" s="771">
        <f t="shared" si="1"/>
        <v>100</v>
      </c>
      <c r="V11" s="770" t="s">
        <v>21</v>
      </c>
      <c r="W11" s="771">
        <f t="shared" si="2"/>
        <v>100</v>
      </c>
      <c r="X11" s="772"/>
      <c r="Y11" s="3044"/>
      <c r="Z11" s="55" t="str">
        <f t="shared" si="7"/>
        <v>容积率</v>
      </c>
      <c r="AA11" s="773">
        <f t="shared" si="3"/>
        <v>1</v>
      </c>
      <c r="AB11" s="773">
        <f t="shared" si="4"/>
        <v>1</v>
      </c>
      <c r="AC11" s="773">
        <f t="shared" si="5"/>
        <v>1</v>
      </c>
    </row>
    <row r="12" spans="1:29" s="117" customFormat="1" ht="15" hidden="1">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04"/>
      <c r="Q12" s="1798">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hidden="1">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04"/>
      <c r="Q13" s="1798">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hidden="1"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04"/>
      <c r="Q14" s="1798">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156.75">
      <c r="A15" s="440" t="s">
        <v>2551</v>
      </c>
      <c r="B15" s="69" t="s">
        <v>2085</v>
      </c>
      <c r="C15" s="2604" t="str">
        <f>估价对象房地状况!C3</f>
        <v>估价对象周边居住用地比例较大，分布有万泉新新家园、万柳华府、万柳星标家园等居住社区。区域内社区配套完善程度好、入住率较高，综合考虑居住社区成熟度较好。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2" t="s">
        <v>2552</v>
      </c>
      <c r="Q15" s="1813" t="str">
        <f t="shared" si="6"/>
        <v>居住社区成熟度</v>
      </c>
      <c r="R15" s="774" t="s">
        <v>21</v>
      </c>
      <c r="S15" s="775">
        <f t="shared" si="0"/>
        <v>100</v>
      </c>
      <c r="T15" s="774" t="s">
        <v>21</v>
      </c>
      <c r="U15" s="775">
        <f t="shared" si="1"/>
        <v>100</v>
      </c>
      <c r="V15" s="774" t="s">
        <v>21</v>
      </c>
      <c r="W15" s="775">
        <f t="shared" si="2"/>
        <v>100</v>
      </c>
      <c r="X15" s="1816"/>
      <c r="Y15" s="3225" t="s">
        <v>2552</v>
      </c>
      <c r="Z15" s="1817" t="str">
        <f t="shared" si="7"/>
        <v>居住社区成熟度</v>
      </c>
      <c r="AA15" s="1814">
        <f t="shared" si="3"/>
        <v>1</v>
      </c>
      <c r="AB15" s="1814">
        <f t="shared" si="4"/>
        <v>1</v>
      </c>
      <c r="AC15" s="1814">
        <f t="shared" si="5"/>
        <v>1</v>
      </c>
    </row>
    <row r="16" spans="1:29" ht="15">
      <c r="A16" s="428"/>
      <c r="B16" s="446"/>
      <c r="C16" s="447" t="s">
        <v>3784</v>
      </c>
      <c r="D16" s="448"/>
      <c r="E16" s="447" t="s">
        <v>3784</v>
      </c>
      <c r="F16" s="448"/>
      <c r="G16" s="447" t="s">
        <v>3784</v>
      </c>
      <c r="H16" s="450"/>
      <c r="I16" s="447" t="s">
        <v>3784</v>
      </c>
      <c r="J16" s="448"/>
      <c r="K16" s="2607"/>
      <c r="L16" s="1143"/>
      <c r="M16" s="1134"/>
      <c r="N16" s="1134"/>
      <c r="O16" s="1134"/>
      <c r="P16" s="3233"/>
      <c r="Q16" s="1813"/>
      <c r="R16" s="774"/>
      <c r="S16" s="775"/>
      <c r="T16" s="774"/>
      <c r="U16" s="775"/>
      <c r="V16" s="774"/>
      <c r="W16" s="775"/>
      <c r="X16" s="1816"/>
      <c r="Y16" s="3226"/>
      <c r="Z16" s="1817"/>
      <c r="AA16" s="1814">
        <v>1</v>
      </c>
      <c r="AB16" s="1814">
        <v>1</v>
      </c>
      <c r="AC16" s="1814">
        <v>1</v>
      </c>
    </row>
    <row r="17" spans="1:29" ht="270.75">
      <c r="A17" s="428"/>
      <c r="B17" s="451" t="s">
        <v>2094</v>
      </c>
      <c r="C17" s="2608" t="str">
        <f>估价对象房地状况!C6</f>
        <v>估价对象位于海淀区万柳地区，北距北四环西路约600米，周边路网较为密集，行车出入便捷。且项目及周边道路均设有停车场位，停车便捷。周边1公里范围内有481路、664路等公交线路，且地铁10号线巴沟站位于地块东北角，公交便捷度好。综上分析，估价对象所在区位整体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3"/>
      <c r="Q17" s="1813" t="str">
        <f>B17</f>
        <v>交通便捷度</v>
      </c>
      <c r="R17" s="774" t="s">
        <v>21</v>
      </c>
      <c r="S17" s="775">
        <f>F17</f>
        <v>100</v>
      </c>
      <c r="T17" s="774" t="s">
        <v>21</v>
      </c>
      <c r="U17" s="775">
        <f>H17</f>
        <v>100</v>
      </c>
      <c r="V17" s="774" t="s">
        <v>21</v>
      </c>
      <c r="W17" s="775">
        <f>J17</f>
        <v>100</v>
      </c>
      <c r="X17" s="1816"/>
      <c r="Y17" s="3226"/>
      <c r="Z17" s="1817" t="str">
        <f>Q17</f>
        <v>交通便捷度</v>
      </c>
      <c r="AA17" s="1814">
        <f t="shared" si="3"/>
        <v>1</v>
      </c>
      <c r="AB17" s="1814">
        <f t="shared" si="4"/>
        <v>1</v>
      </c>
      <c r="AC17" s="1814">
        <f t="shared" si="5"/>
        <v>1</v>
      </c>
    </row>
    <row r="18" spans="1:29" ht="15">
      <c r="A18" s="428"/>
      <c r="B18" s="456"/>
      <c r="C18" s="2609" t="s">
        <v>3784</v>
      </c>
      <c r="D18" s="450"/>
      <c r="E18" s="2609" t="s">
        <v>3784</v>
      </c>
      <c r="F18" s="450"/>
      <c r="G18" s="2609" t="s">
        <v>3784</v>
      </c>
      <c r="H18" s="448"/>
      <c r="I18" s="2609" t="s">
        <v>3784</v>
      </c>
      <c r="J18" s="448"/>
      <c r="K18" s="2607"/>
      <c r="L18" s="1143"/>
      <c r="M18" s="1134"/>
      <c r="N18" s="1134"/>
      <c r="O18" s="1134"/>
      <c r="P18" s="3233"/>
      <c r="Q18" s="1813"/>
      <c r="R18" s="774"/>
      <c r="S18" s="775"/>
      <c r="T18" s="774"/>
      <c r="U18" s="775"/>
      <c r="V18" s="774"/>
      <c r="W18" s="775"/>
      <c r="X18" s="1816"/>
      <c r="Y18" s="3226"/>
      <c r="Z18" s="1817"/>
      <c r="AA18" s="1814">
        <v>1</v>
      </c>
      <c r="AB18" s="1814">
        <v>1</v>
      </c>
      <c r="AC18" s="1814">
        <v>1</v>
      </c>
    </row>
    <row r="19" spans="1:29" ht="213.75">
      <c r="A19" s="428"/>
      <c r="B19" s="451" t="s">
        <v>2092</v>
      </c>
      <c r="C19" s="2608" t="str">
        <f>估价对象房地状况!C7</f>
        <v>周边1.5公里内的公共服务配套设施较为齐备，有购物场所（北京华联万柳购物中心）、医院（北京市海淀区妇幼保健院）、银行（中国光大银行、浦发银行）、学校（北京市八一学校、万泉小学）、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3"/>
      <c r="Q19" s="1813" t="str">
        <f>B19</f>
        <v>公共配套设施</v>
      </c>
      <c r="R19" s="774" t="s">
        <v>21</v>
      </c>
      <c r="S19" s="775">
        <f>F19</f>
        <v>100</v>
      </c>
      <c r="T19" s="774" t="s">
        <v>21</v>
      </c>
      <c r="U19" s="775">
        <f>H19</f>
        <v>100</v>
      </c>
      <c r="V19" s="774" t="s">
        <v>21</v>
      </c>
      <c r="W19" s="775">
        <f>J19</f>
        <v>100</v>
      </c>
      <c r="X19" s="1816"/>
      <c r="Y19" s="3226"/>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33"/>
      <c r="Q20" s="1813"/>
      <c r="R20" s="774"/>
      <c r="S20" s="775"/>
      <c r="T20" s="774"/>
      <c r="U20" s="775"/>
      <c r="V20" s="774"/>
      <c r="W20" s="775"/>
      <c r="X20" s="1816"/>
      <c r="Y20" s="3226"/>
      <c r="Z20" s="1817"/>
      <c r="AA20" s="1814">
        <v>1</v>
      </c>
      <c r="AB20" s="1814">
        <v>1</v>
      </c>
      <c r="AC20" s="1814">
        <v>1</v>
      </c>
    </row>
    <row r="21" spans="1:29" ht="42.75">
      <c r="A21" s="428"/>
      <c r="B21" s="1387" t="s">
        <v>2095</v>
      </c>
      <c r="C21" s="2608" t="str">
        <f>估价对象房地状况!C8</f>
        <v>估价对象所在区域基础设施水平达到“七通”。</v>
      </c>
      <c r="D21" s="450">
        <v>100</v>
      </c>
      <c r="E21" s="459" t="s">
        <v>3809</v>
      </c>
      <c r="F21" s="455">
        <f>SUMIF(82:82,E22,83:83)-SUMIF(82:82,C22,83:83)+100</f>
        <v>100</v>
      </c>
      <c r="G21" s="457" t="s">
        <v>3809</v>
      </c>
      <c r="H21" s="450">
        <f>SUMIF(82:82,G22,83:83)-SUMIF(82:82,C22,83:83)+100</f>
        <v>100</v>
      </c>
      <c r="I21" s="457" t="s">
        <v>3809</v>
      </c>
      <c r="J21" s="450">
        <f>SUMIF(82:82,I22,83:83)-SUMIF(82:82,C22,83:83)+100</f>
        <v>100</v>
      </c>
      <c r="K21" s="445"/>
      <c r="L21" s="1143"/>
      <c r="M21" s="1134"/>
      <c r="N21" s="1134"/>
      <c r="O21" s="1134"/>
      <c r="P21" s="3233"/>
      <c r="Q21" s="1813" t="str">
        <f>B21</f>
        <v>基础设施水平</v>
      </c>
      <c r="R21" s="774" t="s">
        <v>17</v>
      </c>
      <c r="S21" s="775">
        <f>F21</f>
        <v>100</v>
      </c>
      <c r="T21" s="774" t="s">
        <v>17</v>
      </c>
      <c r="U21" s="775">
        <f>H21</f>
        <v>100</v>
      </c>
      <c r="V21" s="774" t="s">
        <v>17</v>
      </c>
      <c r="W21" s="775">
        <f>J21</f>
        <v>100</v>
      </c>
      <c r="X21" s="1816"/>
      <c r="Y21" s="3226"/>
      <c r="Z21" s="1817" t="str">
        <f>Q21</f>
        <v>基础设施水平</v>
      </c>
      <c r="AA21" s="1814">
        <f t="shared" ref="AA21" si="8">D21/F21</f>
        <v>1</v>
      </c>
      <c r="AB21" s="1814">
        <f t="shared" ref="AB21" si="9">D21/H21</f>
        <v>1</v>
      </c>
      <c r="AC21" s="1814">
        <f t="shared" ref="AC21" si="10">D21/J21</f>
        <v>1</v>
      </c>
    </row>
    <row r="22" spans="1:29" ht="15">
      <c r="A22" s="428"/>
      <c r="B22" s="1387"/>
      <c r="C22" s="2609" t="s">
        <v>3807</v>
      </c>
      <c r="D22" s="448"/>
      <c r="E22" s="2609" t="s">
        <v>3807</v>
      </c>
      <c r="F22" s="448"/>
      <c r="G22" s="2609" t="s">
        <v>3807</v>
      </c>
      <c r="H22" s="448"/>
      <c r="I22" s="2609" t="s">
        <v>3807</v>
      </c>
      <c r="J22" s="448"/>
      <c r="K22" s="2613"/>
      <c r="L22" s="1143"/>
      <c r="M22" s="1134"/>
      <c r="N22" s="1134"/>
      <c r="O22" s="1134"/>
      <c r="P22" s="3233"/>
      <c r="Q22" s="1813"/>
      <c r="R22" s="774"/>
      <c r="S22" s="775"/>
      <c r="T22" s="774"/>
      <c r="U22" s="775"/>
      <c r="V22" s="774"/>
      <c r="W22" s="775"/>
      <c r="X22" s="1816"/>
      <c r="Y22" s="3226"/>
      <c r="Z22" s="1817"/>
      <c r="AA22" s="1814">
        <v>1</v>
      </c>
      <c r="AB22" s="1814">
        <v>1</v>
      </c>
      <c r="AC22" s="1814">
        <v>1</v>
      </c>
    </row>
    <row r="23" spans="1:29" ht="156.75">
      <c r="A23" s="428"/>
      <c r="B23" s="451" t="s">
        <v>2099</v>
      </c>
      <c r="C23" s="2608" t="str">
        <f>估价对象房地状况!C9</f>
        <v>估价对象所在区域有2公里范围内有海淀公园、巴沟山水园等自然景观；人文环境：多家幼儿园及北京市八一中学、中国人民大学等，人文环境好；综合评价环境状况较好。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3"/>
      <c r="Q23" s="1813" t="str">
        <f>B23</f>
        <v>自然及人文环境</v>
      </c>
      <c r="R23" s="774" t="s">
        <v>21</v>
      </c>
      <c r="S23" s="775">
        <f>F23</f>
        <v>100</v>
      </c>
      <c r="T23" s="774" t="s">
        <v>21</v>
      </c>
      <c r="U23" s="775">
        <f>H23</f>
        <v>100</v>
      </c>
      <c r="V23" s="774" t="s">
        <v>21</v>
      </c>
      <c r="W23" s="775">
        <f>J23</f>
        <v>100</v>
      </c>
      <c r="X23" s="1816"/>
      <c r="Y23" s="3226"/>
      <c r="Z23" s="1817" t="str">
        <f>Q23</f>
        <v>自然及人文环境</v>
      </c>
      <c r="AA23" s="1814">
        <f>D23/F23</f>
        <v>1</v>
      </c>
      <c r="AB23" s="1814">
        <f>D23/H23</f>
        <v>1</v>
      </c>
      <c r="AC23" s="1814">
        <f>D23/J23</f>
        <v>1</v>
      </c>
    </row>
    <row r="24" spans="1:29" ht="15">
      <c r="A24" s="428"/>
      <c r="B24" s="456"/>
      <c r="C24" s="447" t="s">
        <v>3784</v>
      </c>
      <c r="D24" s="448"/>
      <c r="E24" s="447" t="s">
        <v>3784</v>
      </c>
      <c r="F24" s="448"/>
      <c r="G24" s="447" t="s">
        <v>3784</v>
      </c>
      <c r="H24" s="448"/>
      <c r="I24" s="447" t="s">
        <v>3784</v>
      </c>
      <c r="J24" s="448"/>
      <c r="K24" s="2607"/>
      <c r="L24" s="1143"/>
      <c r="M24" s="1134"/>
      <c r="N24" s="1134"/>
      <c r="O24" s="1134"/>
      <c r="P24" s="3233"/>
      <c r="Q24" s="1813"/>
      <c r="R24" s="774"/>
      <c r="S24" s="775"/>
      <c r="T24" s="774"/>
      <c r="U24" s="775"/>
      <c r="V24" s="774"/>
      <c r="W24" s="775"/>
      <c r="X24" s="1816"/>
      <c r="Y24" s="3226"/>
      <c r="Z24" s="1817"/>
      <c r="AA24" s="1814">
        <v>1</v>
      </c>
      <c r="AB24" s="1814">
        <v>1</v>
      </c>
      <c r="AC24" s="1814">
        <v>1</v>
      </c>
    </row>
    <row r="25" spans="1:29" ht="15">
      <c r="A25" s="428"/>
      <c r="B25" s="422" t="s">
        <v>2553</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3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6"/>
      <c r="Z25" s="1817" t="str">
        <f>Q25</f>
        <v>楼层-1</v>
      </c>
      <c r="AA25" s="1814">
        <f t="shared" ref="AA25:AA46" si="15">D25/F25</f>
        <v>1</v>
      </c>
      <c r="AB25" s="1814">
        <f t="shared" ref="AB25:AB46" si="16">D25/H25</f>
        <v>1</v>
      </c>
      <c r="AC25" s="1814">
        <f t="shared" ref="AC25:AC46" si="17">D25/J25</f>
        <v>1</v>
      </c>
    </row>
    <row r="26" spans="1:29" ht="15.75" thickBot="1">
      <c r="A26" s="428"/>
      <c r="B26" s="422" t="s">
        <v>2554</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33"/>
      <c r="Q26" s="1813" t="str">
        <f t="shared" si="11"/>
        <v>朝向</v>
      </c>
      <c r="R26" s="774" t="s">
        <v>21</v>
      </c>
      <c r="S26" s="775">
        <f t="shared" si="12"/>
        <v>100</v>
      </c>
      <c r="T26" s="774" t="s">
        <v>21</v>
      </c>
      <c r="U26" s="775">
        <f t="shared" si="13"/>
        <v>100</v>
      </c>
      <c r="V26" s="774" t="s">
        <v>21</v>
      </c>
      <c r="W26" s="775">
        <f t="shared" si="14"/>
        <v>100</v>
      </c>
      <c r="X26" s="1816"/>
      <c r="Y26" s="3226"/>
      <c r="Z26" s="1817" t="str">
        <f>Q26</f>
        <v>朝向</v>
      </c>
      <c r="AA26" s="1814">
        <f t="shared" si="15"/>
        <v>1</v>
      </c>
      <c r="AB26" s="1814">
        <f t="shared" si="16"/>
        <v>1</v>
      </c>
      <c r="AC26" s="1814">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33"/>
      <c r="Q27" s="1798">
        <f t="shared" si="11"/>
        <v>111</v>
      </c>
      <c r="R27" s="770" t="s">
        <v>21</v>
      </c>
      <c r="S27" s="771">
        <f t="shared" si="12"/>
        <v>100</v>
      </c>
      <c r="T27" s="770" t="s">
        <v>21</v>
      </c>
      <c r="U27" s="771">
        <f t="shared" si="13"/>
        <v>100</v>
      </c>
      <c r="V27" s="770" t="s">
        <v>21</v>
      </c>
      <c r="W27" s="771">
        <f t="shared" si="14"/>
        <v>100</v>
      </c>
      <c r="X27" s="772"/>
      <c r="Y27" s="3226"/>
      <c r="Z27" s="55">
        <f>Q27</f>
        <v>111</v>
      </c>
      <c r="AA27" s="1814">
        <f t="shared" si="15"/>
        <v>1</v>
      </c>
      <c r="AB27" s="1814">
        <f t="shared" si="16"/>
        <v>1</v>
      </c>
      <c r="AC27" s="1814">
        <f t="shared" si="17"/>
        <v>1</v>
      </c>
    </row>
    <row r="28" spans="1:29" ht="15" hidden="1">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33"/>
      <c r="Q28" s="1813">
        <f t="shared" si="11"/>
        <v>111</v>
      </c>
      <c r="R28" s="774" t="s">
        <v>21</v>
      </c>
      <c r="S28" s="775">
        <f t="shared" si="12"/>
        <v>100</v>
      </c>
      <c r="T28" s="774" t="s">
        <v>21</v>
      </c>
      <c r="U28" s="775">
        <f t="shared" si="13"/>
        <v>100</v>
      </c>
      <c r="V28" s="774" t="s">
        <v>21</v>
      </c>
      <c r="W28" s="775">
        <f t="shared" si="14"/>
        <v>100</v>
      </c>
      <c r="X28" s="1816"/>
      <c r="Y28" s="3226"/>
      <c r="Z28" s="1817">
        <f t="shared" ref="Z28:Z46" si="18">Q28</f>
        <v>111</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33"/>
      <c r="Q29" s="1813">
        <f t="shared" si="11"/>
        <v>111</v>
      </c>
      <c r="R29" s="774" t="s">
        <v>21</v>
      </c>
      <c r="S29" s="775">
        <f t="shared" si="12"/>
        <v>100</v>
      </c>
      <c r="T29" s="774" t="s">
        <v>21</v>
      </c>
      <c r="U29" s="775">
        <f t="shared" si="13"/>
        <v>100</v>
      </c>
      <c r="V29" s="774" t="s">
        <v>21</v>
      </c>
      <c r="W29" s="775">
        <f t="shared" si="14"/>
        <v>100</v>
      </c>
      <c r="X29" s="1816"/>
      <c r="Y29" s="3226"/>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33"/>
      <c r="Q30" s="1813">
        <f t="shared" si="11"/>
        <v>111</v>
      </c>
      <c r="R30" s="774" t="s">
        <v>21</v>
      </c>
      <c r="S30" s="775">
        <f t="shared" si="12"/>
        <v>100</v>
      </c>
      <c r="T30" s="774" t="s">
        <v>21</v>
      </c>
      <c r="U30" s="775">
        <f t="shared" si="13"/>
        <v>100</v>
      </c>
      <c r="V30" s="774" t="s">
        <v>21</v>
      </c>
      <c r="W30" s="775">
        <f t="shared" si="14"/>
        <v>100</v>
      </c>
      <c r="X30" s="1816"/>
      <c r="Y30" s="3226"/>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33"/>
      <c r="Q31" s="1813">
        <f t="shared" si="11"/>
        <v>111</v>
      </c>
      <c r="R31" s="774" t="s">
        <v>21</v>
      </c>
      <c r="S31" s="775">
        <f t="shared" si="12"/>
        <v>100</v>
      </c>
      <c r="T31" s="774" t="s">
        <v>21</v>
      </c>
      <c r="U31" s="775">
        <f t="shared" si="13"/>
        <v>100</v>
      </c>
      <c r="V31" s="774" t="s">
        <v>21</v>
      </c>
      <c r="W31" s="775">
        <f t="shared" si="14"/>
        <v>100</v>
      </c>
      <c r="X31" s="1816"/>
      <c r="Y31" s="3226"/>
      <c r="Z31" s="1817">
        <f t="shared" si="18"/>
        <v>111</v>
      </c>
      <c r="AA31" s="1814">
        <f t="shared" si="15"/>
        <v>1</v>
      </c>
      <c r="AB31" s="1814">
        <f t="shared" si="16"/>
        <v>1</v>
      </c>
      <c r="AC31" s="1814">
        <f t="shared" si="17"/>
        <v>1</v>
      </c>
    </row>
    <row r="32" spans="1:29" ht="15">
      <c r="A32" s="440" t="s">
        <v>2555</v>
      </c>
      <c r="B32" s="71" t="s">
        <v>2556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27" t="s">
        <v>2557</v>
      </c>
      <c r="Q32" s="1813" t="str">
        <f t="shared" si="11"/>
        <v>建筑类型</v>
      </c>
      <c r="R32" s="774" t="s">
        <v>21</v>
      </c>
      <c r="S32" s="775">
        <f t="shared" si="12"/>
        <v>100</v>
      </c>
      <c r="T32" s="774" t="s">
        <v>21</v>
      </c>
      <c r="U32" s="775">
        <f t="shared" si="13"/>
        <v>100</v>
      </c>
      <c r="V32" s="774" t="s">
        <v>21</v>
      </c>
      <c r="W32" s="775">
        <f t="shared" si="14"/>
        <v>100</v>
      </c>
      <c r="X32" s="1816"/>
      <c r="Y32" s="3230" t="s">
        <v>2557</v>
      </c>
      <c r="Z32" s="1817" t="str">
        <f t="shared" si="18"/>
        <v>建筑类型</v>
      </c>
      <c r="AA32" s="1814">
        <f t="shared" si="15"/>
        <v>1</v>
      </c>
      <c r="AB32" s="1814">
        <f t="shared" si="16"/>
        <v>1</v>
      </c>
      <c r="AC32" s="1814">
        <f t="shared" si="17"/>
        <v>1</v>
      </c>
    </row>
    <row r="33" spans="1:29" s="471" customFormat="1" ht="15">
      <c r="A33" s="468"/>
      <c r="B33" s="422" t="s">
        <v>2558</v>
      </c>
      <c r="C33" s="469">
        <f>'数据-汇总表'!F19</f>
        <v>273.05</v>
      </c>
      <c r="D33" s="136">
        <v>100</v>
      </c>
      <c r="E33" s="430">
        <v>398.12</v>
      </c>
      <c r="F33" s="425">
        <f>LOOKUP(E33,103:103,104:104)-LOOKUP(C33,103:103,104:104)+100</f>
        <v>103</v>
      </c>
      <c r="G33" s="429">
        <v>263.10000000000002</v>
      </c>
      <c r="H33" s="136">
        <f>LOOKUP(G33,103:103,104:104)-LOOKUP(C33,103:103,104:104)+100</f>
        <v>100</v>
      </c>
      <c r="I33" s="430">
        <v>344.3</v>
      </c>
      <c r="J33" s="136">
        <f>LOOKUP(I33,103:103,104:104)-LOOKUP(C33,103:103,104:104)+100</f>
        <v>103</v>
      </c>
      <c r="K33" s="2602"/>
      <c r="L33" s="1141"/>
      <c r="M33" s="1144"/>
      <c r="N33" s="1144"/>
      <c r="O33" s="1144"/>
      <c r="P33" s="3228"/>
      <c r="Q33" s="776" t="str">
        <f t="shared" si="11"/>
        <v>项目建筑规模</v>
      </c>
      <c r="R33" s="777" t="s">
        <v>21</v>
      </c>
      <c r="S33" s="778">
        <f t="shared" si="12"/>
        <v>103</v>
      </c>
      <c r="T33" s="777" t="s">
        <v>21</v>
      </c>
      <c r="U33" s="778">
        <f t="shared" si="13"/>
        <v>100</v>
      </c>
      <c r="V33" s="777" t="s">
        <v>21</v>
      </c>
      <c r="W33" s="778">
        <f t="shared" si="14"/>
        <v>103</v>
      </c>
      <c r="X33" s="779"/>
      <c r="Y33" s="3230"/>
      <c r="Z33" s="780" t="str">
        <f t="shared" si="18"/>
        <v>项目建筑规模</v>
      </c>
      <c r="AA33" s="1814">
        <f t="shared" si="15"/>
        <v>0.970873786407767</v>
      </c>
      <c r="AB33" s="1814">
        <f t="shared" si="16"/>
        <v>1</v>
      </c>
      <c r="AC33" s="1814">
        <f t="shared" si="17"/>
        <v>0.970873786407767</v>
      </c>
    </row>
    <row r="34" spans="1:29" ht="15">
      <c r="A34" s="472"/>
      <c r="B34" s="422" t="s">
        <v>2559</v>
      </c>
      <c r="C34" s="2620" t="s">
        <v>3771</v>
      </c>
      <c r="D34" s="435">
        <v>100</v>
      </c>
      <c r="E34" s="2620" t="s">
        <v>3771</v>
      </c>
      <c r="F34" s="461">
        <f>SUMIF(105:105,E34,106:106)-SUMIF(105:105,C34,106:106)+100</f>
        <v>100</v>
      </c>
      <c r="G34" s="2620" t="s">
        <v>3771</v>
      </c>
      <c r="H34" s="435">
        <f>SUMIF(105:105,G34,106:106)-SUMIF(105:105,C34,106:106)+100</f>
        <v>100</v>
      </c>
      <c r="I34" s="2620" t="s">
        <v>3771</v>
      </c>
      <c r="J34" s="435">
        <f>SUMIF(105:105,I34,106:106)-SUMIF(105:105,C34,106:106)+100</f>
        <v>100</v>
      </c>
      <c r="K34" s="426"/>
      <c r="L34" s="1143"/>
      <c r="M34" s="1134"/>
      <c r="N34" s="1134"/>
      <c r="O34" s="1134"/>
      <c r="P34" s="3228"/>
      <c r="Q34" s="1813" t="str">
        <f t="shared" si="11"/>
        <v>建筑结构</v>
      </c>
      <c r="R34" s="774" t="s">
        <v>21</v>
      </c>
      <c r="S34" s="775">
        <f t="shared" si="12"/>
        <v>100</v>
      </c>
      <c r="T34" s="774" t="s">
        <v>21</v>
      </c>
      <c r="U34" s="775">
        <f t="shared" si="13"/>
        <v>100</v>
      </c>
      <c r="V34" s="774" t="s">
        <v>21</v>
      </c>
      <c r="W34" s="775">
        <f t="shared" si="14"/>
        <v>100</v>
      </c>
      <c r="X34" s="1816"/>
      <c r="Y34" s="3230"/>
      <c r="Z34" s="1817" t="str">
        <f t="shared" si="18"/>
        <v>建筑结构</v>
      </c>
      <c r="AA34" s="1814">
        <f t="shared" si="15"/>
        <v>1</v>
      </c>
      <c r="AB34" s="1814">
        <f t="shared" si="16"/>
        <v>1</v>
      </c>
      <c r="AC34" s="1814">
        <f t="shared" si="17"/>
        <v>1</v>
      </c>
    </row>
    <row r="35" spans="1:29" ht="15">
      <c r="A35" s="472"/>
      <c r="B35" s="422" t="s">
        <v>2560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28"/>
      <c r="Q35" s="1813" t="str">
        <f t="shared" si="11"/>
        <v>建筑品质</v>
      </c>
      <c r="R35" s="774" t="s">
        <v>21</v>
      </c>
      <c r="S35" s="775">
        <f t="shared" si="12"/>
        <v>100</v>
      </c>
      <c r="T35" s="774" t="s">
        <v>21</v>
      </c>
      <c r="U35" s="775">
        <f t="shared" si="13"/>
        <v>100</v>
      </c>
      <c r="V35" s="774" t="s">
        <v>21</v>
      </c>
      <c r="W35" s="775">
        <f t="shared" si="14"/>
        <v>100</v>
      </c>
      <c r="X35" s="1816"/>
      <c r="Y35" s="3230"/>
      <c r="Z35" s="1817" t="str">
        <f t="shared" si="18"/>
        <v>建筑品质</v>
      </c>
      <c r="AA35" s="1814">
        <f t="shared" si="15"/>
        <v>1</v>
      </c>
      <c r="AB35" s="1814">
        <f t="shared" si="16"/>
        <v>1</v>
      </c>
      <c r="AC35" s="1814">
        <f t="shared" si="17"/>
        <v>1</v>
      </c>
    </row>
    <row r="36" spans="1:29" ht="15">
      <c r="A36" s="472"/>
      <c r="B36" s="422" t="s">
        <v>2561</v>
      </c>
      <c r="C36" s="2614" t="s">
        <v>3835</v>
      </c>
      <c r="D36" s="435">
        <v>100</v>
      </c>
      <c r="E36" s="2614" t="s">
        <v>3835</v>
      </c>
      <c r="F36" s="461">
        <f>SUMIF(109:109,E36,110:110)-SUMIF(109:109,C36,110:110)+100</f>
        <v>100</v>
      </c>
      <c r="G36" s="2614" t="s">
        <v>3835</v>
      </c>
      <c r="H36" s="435">
        <f>SUMIF(109:109,G36,110:110)-SUMIF(109:109,C36,110:110)+100</f>
        <v>100</v>
      </c>
      <c r="I36" s="2614" t="s">
        <v>3835</v>
      </c>
      <c r="J36" s="435">
        <f>SUMIF(109:109,I36,110:110)-SUMIF(109:109,C36,110:110)+100</f>
        <v>100</v>
      </c>
      <c r="K36" s="426"/>
      <c r="L36" s="1143"/>
      <c r="M36" s="1134"/>
      <c r="N36" s="1134"/>
      <c r="O36" s="1134"/>
      <c r="P36" s="3228"/>
      <c r="Q36" s="1813" t="str">
        <f t="shared" si="11"/>
        <v>公共部分装修</v>
      </c>
      <c r="R36" s="774" t="s">
        <v>21</v>
      </c>
      <c r="S36" s="775">
        <f t="shared" si="12"/>
        <v>100</v>
      </c>
      <c r="T36" s="774" t="s">
        <v>21</v>
      </c>
      <c r="U36" s="775">
        <f t="shared" si="13"/>
        <v>100</v>
      </c>
      <c r="V36" s="774" t="s">
        <v>21</v>
      </c>
      <c r="W36" s="775">
        <f t="shared" si="14"/>
        <v>100</v>
      </c>
      <c r="X36" s="1816"/>
      <c r="Y36" s="3230"/>
      <c r="Z36" s="1817" t="str">
        <f t="shared" si="18"/>
        <v>公共部分装修</v>
      </c>
      <c r="AA36" s="1814">
        <f t="shared" si="15"/>
        <v>1</v>
      </c>
      <c r="AB36" s="1814">
        <f t="shared" si="16"/>
        <v>1</v>
      </c>
      <c r="AC36" s="1814">
        <f t="shared" si="17"/>
        <v>1</v>
      </c>
    </row>
    <row r="37" spans="1:29" s="117" customFormat="1" ht="15">
      <c r="A37" s="473"/>
      <c r="B37" s="422" t="s">
        <v>2562</v>
      </c>
      <c r="C37" s="474">
        <f>'数据-取费表'!N6</f>
        <v>0.93300000000000005</v>
      </c>
      <c r="D37" s="136">
        <v>100</v>
      </c>
      <c r="E37" s="474">
        <v>0.83299999999999996</v>
      </c>
      <c r="F37" s="425">
        <f>LOOKUP(E37,112:112,113:113)-LOOKUP(C37,112:112,113:113)+100</f>
        <v>97</v>
      </c>
      <c r="G37" s="476">
        <f>C37</f>
        <v>0.93300000000000005</v>
      </c>
      <c r="H37" s="136">
        <f>LOOKUP(G37,112:112,113:113)-LOOKUP(C37,112:112,113:113)+100</f>
        <v>100</v>
      </c>
      <c r="I37" s="475">
        <v>0.78300000000000003</v>
      </c>
      <c r="J37" s="136">
        <f>LOOKUP(I37,112:112,113:113)-LOOKUP(C37,112:112,113:113)+100</f>
        <v>94</v>
      </c>
      <c r="K37" s="426">
        <v>3</v>
      </c>
      <c r="L37" s="1135"/>
      <c r="M37" s="1136"/>
      <c r="N37" s="1136"/>
      <c r="O37" s="1136"/>
      <c r="P37" s="3228"/>
      <c r="Q37" s="1798" t="str">
        <f t="shared" si="11"/>
        <v>成新度</v>
      </c>
      <c r="R37" s="770" t="s">
        <v>21</v>
      </c>
      <c r="S37" s="771">
        <f t="shared" si="12"/>
        <v>97</v>
      </c>
      <c r="T37" s="770" t="s">
        <v>21</v>
      </c>
      <c r="U37" s="771">
        <f t="shared" si="13"/>
        <v>100</v>
      </c>
      <c r="V37" s="770" t="s">
        <v>21</v>
      </c>
      <c r="W37" s="771">
        <f t="shared" si="14"/>
        <v>94</v>
      </c>
      <c r="X37" s="772"/>
      <c r="Y37" s="3230"/>
      <c r="Z37" s="55" t="str">
        <f t="shared" si="18"/>
        <v>成新度</v>
      </c>
      <c r="AA37" s="773">
        <f t="shared" si="15"/>
        <v>1.0309278350515463</v>
      </c>
      <c r="AB37" s="773">
        <f t="shared" si="16"/>
        <v>1</v>
      </c>
      <c r="AC37" s="773">
        <f t="shared" si="17"/>
        <v>1.0638297872340425</v>
      </c>
    </row>
    <row r="38" spans="1:29" ht="15">
      <c r="A38" s="472"/>
      <c r="B38" s="422" t="s">
        <v>2563</v>
      </c>
      <c r="C38" s="2614" t="s">
        <v>3836</v>
      </c>
      <c r="D38" s="435">
        <v>100</v>
      </c>
      <c r="E38" s="2614" t="s">
        <v>3836</v>
      </c>
      <c r="F38" s="461">
        <f>SUMIF(114:114,E38,115:115)-SUMIF(114:114,C38,115:115)+100</f>
        <v>100</v>
      </c>
      <c r="G38" s="2614" t="s">
        <v>3836</v>
      </c>
      <c r="H38" s="435">
        <f>SUMIF(114:114,G38,115:115)-SUMIF(114:114,C38,115:115)+100</f>
        <v>100</v>
      </c>
      <c r="I38" s="2614" t="s">
        <v>3836</v>
      </c>
      <c r="J38" s="435">
        <f>SUMIF(114:114,I38,115:115)-SUMIF(114:114,C38,115:115)+100</f>
        <v>100</v>
      </c>
      <c r="K38" s="426"/>
      <c r="L38" s="1143"/>
      <c r="M38" s="1134"/>
      <c r="N38" s="1134"/>
      <c r="O38" s="1134"/>
      <c r="P38" s="3228" t="s">
        <v>2557</v>
      </c>
      <c r="Q38" s="1813" t="str">
        <f t="shared" si="11"/>
        <v>物业管理</v>
      </c>
      <c r="R38" s="774" t="s">
        <v>21</v>
      </c>
      <c r="S38" s="775">
        <f t="shared" si="12"/>
        <v>100</v>
      </c>
      <c r="T38" s="774" t="s">
        <v>21</v>
      </c>
      <c r="U38" s="775">
        <f t="shared" si="13"/>
        <v>100</v>
      </c>
      <c r="V38" s="774" t="s">
        <v>21</v>
      </c>
      <c r="W38" s="775">
        <f t="shared" si="14"/>
        <v>100</v>
      </c>
      <c r="X38" s="1816"/>
      <c r="Y38" s="3230" t="s">
        <v>2557</v>
      </c>
      <c r="Z38" s="1817" t="str">
        <f t="shared" si="18"/>
        <v>物业管理</v>
      </c>
      <c r="AA38" s="1814">
        <f t="shared" si="15"/>
        <v>1</v>
      </c>
      <c r="AB38" s="1814">
        <f t="shared" si="16"/>
        <v>1</v>
      </c>
      <c r="AC38" s="1814">
        <f t="shared" si="17"/>
        <v>1</v>
      </c>
    </row>
    <row r="39" spans="1:29" ht="15">
      <c r="A39" s="472"/>
      <c r="B39" s="422" t="s">
        <v>2564</v>
      </c>
      <c r="C39" s="2614" t="s">
        <v>3807</v>
      </c>
      <c r="D39" s="435">
        <v>100</v>
      </c>
      <c r="E39" s="2614" t="s">
        <v>3807</v>
      </c>
      <c r="F39" s="461">
        <f>SUMIF(116:116,E39,117:117)-SUMIF(116:116,C39,117:117)+100</f>
        <v>100</v>
      </c>
      <c r="G39" s="2614" t="s">
        <v>3807</v>
      </c>
      <c r="H39" s="435">
        <f>SUMIF(116:116,G39,117:117)-SUMIF(116:116,C39,117:117)+100</f>
        <v>100</v>
      </c>
      <c r="I39" s="2614" t="s">
        <v>3807</v>
      </c>
      <c r="J39" s="435">
        <f>SUMIF(116:116,I39,117:117)-SUMIF(116:116,C39,117:117)+100</f>
        <v>100</v>
      </c>
      <c r="K39" s="426"/>
      <c r="L39" s="1143"/>
      <c r="M39" s="1134"/>
      <c r="N39" s="1134"/>
      <c r="O39" s="1134"/>
      <c r="P39" s="3228"/>
      <c r="Q39" s="1813" t="str">
        <f t="shared" si="11"/>
        <v>市政基础设施</v>
      </c>
      <c r="R39" s="774" t="s">
        <v>21</v>
      </c>
      <c r="S39" s="775">
        <f t="shared" si="12"/>
        <v>100</v>
      </c>
      <c r="T39" s="774" t="s">
        <v>21</v>
      </c>
      <c r="U39" s="775">
        <f t="shared" si="13"/>
        <v>100</v>
      </c>
      <c r="V39" s="774" t="s">
        <v>21</v>
      </c>
      <c r="W39" s="775">
        <f t="shared" si="14"/>
        <v>100</v>
      </c>
      <c r="X39" s="1816"/>
      <c r="Y39" s="3230"/>
      <c r="Z39" s="1817" t="str">
        <f t="shared" si="18"/>
        <v>市政基础设施</v>
      </c>
      <c r="AA39" s="1814">
        <f t="shared" si="15"/>
        <v>1</v>
      </c>
      <c r="AB39" s="1814">
        <f t="shared" si="16"/>
        <v>1</v>
      </c>
      <c r="AC39" s="1814">
        <f t="shared" si="17"/>
        <v>1</v>
      </c>
    </row>
    <row r="40" spans="1:29" ht="15">
      <c r="A40" s="472"/>
      <c r="B40" s="422" t="s">
        <v>2565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28"/>
      <c r="Q40" s="1813" t="str">
        <f t="shared" si="11"/>
        <v>房型</v>
      </c>
      <c r="R40" s="774" t="s">
        <v>21</v>
      </c>
      <c r="S40" s="775">
        <f t="shared" si="12"/>
        <v>100</v>
      </c>
      <c r="T40" s="774" t="s">
        <v>21</v>
      </c>
      <c r="U40" s="775">
        <f t="shared" si="13"/>
        <v>100</v>
      </c>
      <c r="V40" s="774" t="s">
        <v>21</v>
      </c>
      <c r="W40" s="775">
        <f t="shared" si="14"/>
        <v>100</v>
      </c>
      <c r="X40" s="1816"/>
      <c r="Y40" s="3230"/>
      <c r="Z40" s="1817" t="str">
        <f t="shared" si="18"/>
        <v>房型</v>
      </c>
      <c r="AA40" s="1814">
        <f t="shared" si="15"/>
        <v>1</v>
      </c>
      <c r="AB40" s="1814">
        <f t="shared" si="16"/>
        <v>1</v>
      </c>
      <c r="AC40" s="1814">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28"/>
      <c r="Q41" s="776" t="str">
        <f t="shared" si="11"/>
        <v>单套/主力户型建筑面积</v>
      </c>
      <c r="R41" s="777" t="s">
        <v>21</v>
      </c>
      <c r="S41" s="778">
        <f t="shared" si="12"/>
        <v>100</v>
      </c>
      <c r="T41" s="777" t="s">
        <v>21</v>
      </c>
      <c r="U41" s="778">
        <f t="shared" si="13"/>
        <v>100</v>
      </c>
      <c r="V41" s="777" t="s">
        <v>21</v>
      </c>
      <c r="W41" s="778">
        <f t="shared" si="14"/>
        <v>100</v>
      </c>
      <c r="X41" s="779"/>
      <c r="Y41" s="3230"/>
      <c r="Z41" s="780" t="str">
        <f t="shared" si="18"/>
        <v>单套/主力户型建筑面积</v>
      </c>
      <c r="AA41" s="1814">
        <f t="shared" si="15"/>
        <v>1</v>
      </c>
      <c r="AB41" s="1814">
        <f t="shared" si="16"/>
        <v>1</v>
      </c>
      <c r="AC41" s="1814">
        <f t="shared" si="17"/>
        <v>1</v>
      </c>
    </row>
    <row r="42" spans="1:29" ht="15">
      <c r="A42" s="472"/>
      <c r="B42" s="422" t="s">
        <v>2567</v>
      </c>
      <c r="C42" s="2614" t="s">
        <v>3835</v>
      </c>
      <c r="D42" s="435">
        <v>100</v>
      </c>
      <c r="E42" s="2614" t="s">
        <v>3835</v>
      </c>
      <c r="F42" s="461">
        <f>SUMIF(122:122,E42,123:123)-SUMIF(122:122,C42,123:123)+100</f>
        <v>100</v>
      </c>
      <c r="G42" s="2614" t="s">
        <v>3835</v>
      </c>
      <c r="H42" s="435">
        <f>SUMIF(122:122,G42,123:123)-SUMIF(122:122,C42,123:123)+100</f>
        <v>100</v>
      </c>
      <c r="I42" s="2614" t="s">
        <v>3835</v>
      </c>
      <c r="J42" s="435">
        <f>SUMIF(122:122,I42,123:123)-SUMIF(122:122,C42,123:123)+100</f>
        <v>100</v>
      </c>
      <c r="K42" s="426"/>
      <c r="L42" s="1143"/>
      <c r="M42" s="1134"/>
      <c r="N42" s="1134"/>
      <c r="O42" s="1134"/>
      <c r="P42" s="3228"/>
      <c r="Q42" s="1813" t="str">
        <f t="shared" si="11"/>
        <v>内部装修</v>
      </c>
      <c r="R42" s="774" t="s">
        <v>21</v>
      </c>
      <c r="S42" s="775">
        <f t="shared" si="12"/>
        <v>100</v>
      </c>
      <c r="T42" s="774" t="s">
        <v>21</v>
      </c>
      <c r="U42" s="775">
        <f t="shared" si="13"/>
        <v>100</v>
      </c>
      <c r="V42" s="774" t="s">
        <v>21</v>
      </c>
      <c r="W42" s="775">
        <f t="shared" si="14"/>
        <v>100</v>
      </c>
      <c r="X42" s="1816"/>
      <c r="Y42" s="3230"/>
      <c r="Z42" s="1817" t="str">
        <f t="shared" si="18"/>
        <v>内部装修</v>
      </c>
      <c r="AA42" s="1814">
        <f t="shared" si="15"/>
        <v>1</v>
      </c>
      <c r="AB42" s="1814">
        <f t="shared" si="16"/>
        <v>1</v>
      </c>
      <c r="AC42" s="1814">
        <f t="shared" si="17"/>
        <v>1</v>
      </c>
    </row>
    <row r="43" spans="1:29" ht="15.75" thickBot="1">
      <c r="A43" s="472"/>
      <c r="B43" s="422" t="s">
        <v>2568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28"/>
      <c r="Q43" s="1813" t="str">
        <f t="shared" si="11"/>
        <v>内部装修维护情况</v>
      </c>
      <c r="R43" s="774" t="s">
        <v>21</v>
      </c>
      <c r="S43" s="775">
        <f t="shared" si="12"/>
        <v>100</v>
      </c>
      <c r="T43" s="774" t="s">
        <v>21</v>
      </c>
      <c r="U43" s="775">
        <f t="shared" si="13"/>
        <v>100</v>
      </c>
      <c r="V43" s="774" t="s">
        <v>21</v>
      </c>
      <c r="W43" s="775">
        <f t="shared" si="14"/>
        <v>100</v>
      </c>
      <c r="X43" s="1816"/>
      <c r="Y43" s="3230"/>
      <c r="Z43" s="1817" t="str">
        <f t="shared" si="18"/>
        <v>内部装修维护情况</v>
      </c>
      <c r="AA43" s="1814">
        <f t="shared" si="15"/>
        <v>1</v>
      </c>
      <c r="AB43" s="1814">
        <f t="shared" si="16"/>
        <v>1</v>
      </c>
      <c r="AC43" s="1814">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28"/>
      <c r="Q44" s="1798">
        <f t="shared" si="11"/>
        <v>111</v>
      </c>
      <c r="R44" s="770" t="s">
        <v>21</v>
      </c>
      <c r="S44" s="771">
        <f t="shared" si="12"/>
        <v>100</v>
      </c>
      <c r="T44" s="770" t="s">
        <v>21</v>
      </c>
      <c r="U44" s="771">
        <f t="shared" si="13"/>
        <v>100</v>
      </c>
      <c r="V44" s="770" t="s">
        <v>21</v>
      </c>
      <c r="W44" s="771">
        <f t="shared" si="14"/>
        <v>100</v>
      </c>
      <c r="X44" s="772"/>
      <c r="Y44" s="3230"/>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28"/>
      <c r="Q45" s="1813">
        <f t="shared" si="11"/>
        <v>111</v>
      </c>
      <c r="R45" s="774" t="s">
        <v>21</v>
      </c>
      <c r="S45" s="775">
        <f t="shared" si="12"/>
        <v>100</v>
      </c>
      <c r="T45" s="774" t="s">
        <v>21</v>
      </c>
      <c r="U45" s="775">
        <f t="shared" si="13"/>
        <v>100</v>
      </c>
      <c r="V45" s="774" t="s">
        <v>21</v>
      </c>
      <c r="W45" s="775">
        <f t="shared" si="14"/>
        <v>100</v>
      </c>
      <c r="X45" s="1816"/>
      <c r="Y45" s="3230"/>
      <c r="Z45" s="1817">
        <f t="shared" si="18"/>
        <v>111</v>
      </c>
      <c r="AA45" s="1814">
        <f t="shared" si="15"/>
        <v>1</v>
      </c>
      <c r="AB45" s="1814">
        <f t="shared" si="16"/>
        <v>1</v>
      </c>
      <c r="AC45" s="1814">
        <f t="shared" si="17"/>
        <v>1</v>
      </c>
    </row>
    <row r="46" spans="1:29" ht="15.75" hidden="1"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29"/>
      <c r="Q46" s="1813">
        <f t="shared" si="11"/>
        <v>111</v>
      </c>
      <c r="R46" s="774" t="s">
        <v>20</v>
      </c>
      <c r="S46" s="775">
        <f t="shared" si="12"/>
        <v>100</v>
      </c>
      <c r="T46" s="774" t="s">
        <v>20</v>
      </c>
      <c r="U46" s="775">
        <f t="shared" si="13"/>
        <v>100</v>
      </c>
      <c r="V46" s="774" t="s">
        <v>20</v>
      </c>
      <c r="W46" s="775">
        <f t="shared" si="14"/>
        <v>100</v>
      </c>
      <c r="X46" s="1816"/>
      <c r="Y46" s="3231"/>
      <c r="Z46" s="1817">
        <f t="shared" si="18"/>
        <v>111</v>
      </c>
      <c r="AA46" s="1814">
        <f t="shared" si="15"/>
        <v>1</v>
      </c>
      <c r="AB46" s="1814">
        <f t="shared" si="16"/>
        <v>1</v>
      </c>
      <c r="AC46" s="1814">
        <f t="shared" si="17"/>
        <v>1</v>
      </c>
    </row>
    <row r="47" spans="1:29" ht="15">
      <c r="A47" s="479" t="s">
        <v>2569</v>
      </c>
      <c r="B47" s="480"/>
      <c r="C47" s="1410" t="s">
        <v>19</v>
      </c>
      <c r="D47" s="1411"/>
      <c r="E47" s="1412">
        <f>ROUND(198432*0.99,0)</f>
        <v>196448</v>
      </c>
      <c r="F47" s="1413"/>
      <c r="G47" s="1414">
        <v>220000</v>
      </c>
      <c r="H47" s="1415"/>
      <c r="I47" s="1412">
        <f>ROUND(188788*0.99,0)</f>
        <v>186900</v>
      </c>
      <c r="J47" s="1415"/>
      <c r="K47" s="2621"/>
      <c r="L47" s="1146"/>
      <c r="M47" s="1147"/>
      <c r="N47" s="1134"/>
      <c r="O47" s="1147"/>
      <c r="P47" s="3223" t="str">
        <f>A47</f>
        <v>成交单价（元/平方米）</v>
      </c>
      <c r="Q47" s="3223"/>
      <c r="R47" s="3224">
        <f>E47</f>
        <v>196448</v>
      </c>
      <c r="S47" s="3224"/>
      <c r="T47" s="3224">
        <f>G47</f>
        <v>220000</v>
      </c>
      <c r="U47" s="3224"/>
      <c r="V47" s="3224">
        <f>I47</f>
        <v>186900</v>
      </c>
      <c r="W47" s="3224"/>
      <c r="X47" s="759"/>
      <c r="Y47" s="781"/>
      <c r="Z47" s="759"/>
      <c r="AA47" s="759"/>
      <c r="AB47" s="759"/>
      <c r="AC47" s="759"/>
    </row>
    <row r="48" spans="1:29" ht="15.75" thickBot="1">
      <c r="A48" s="486" t="s">
        <v>2570</v>
      </c>
      <c r="B48" s="487"/>
      <c r="C48" s="1416">
        <f>R49</f>
        <v>204533</v>
      </c>
      <c r="D48" s="1417"/>
      <c r="E48" s="1418">
        <f>R48</f>
        <v>198611</v>
      </c>
      <c r="F48" s="1418"/>
      <c r="G48" s="1416">
        <f>T48</f>
        <v>220000</v>
      </c>
      <c r="H48" s="1417"/>
      <c r="I48" s="1418">
        <f>V48</f>
        <v>194989</v>
      </c>
      <c r="J48" s="1417"/>
      <c r="K48" s="2622"/>
      <c r="L48" s="1146"/>
      <c r="M48" s="1147"/>
      <c r="N48" s="1147"/>
      <c r="O48" s="1147"/>
      <c r="P48" s="3223" t="str">
        <f>A48</f>
        <v>比较价值（元/平方米）</v>
      </c>
      <c r="Q48" s="3223"/>
      <c r="R48" s="3224">
        <f>IF(F1="售价",ROUND(PRODUCT(R47,AA7:AA46),0),ROUND(PRODUCT(R47,AA7:AA46),1))</f>
        <v>198611</v>
      </c>
      <c r="S48" s="3224"/>
      <c r="T48" s="3224">
        <f>IF(F1="售价",ROUND(PRODUCT(T47,AB7:AB46),0),ROUND(PRODUCT(T47,AB7:AB46),1))</f>
        <v>220000</v>
      </c>
      <c r="U48" s="3224"/>
      <c r="V48" s="3224">
        <f>IF(F1="售价",ROUND(PRODUCT(V47,AC7:AC46),0),ROUND(PRODUCT(V47,AC7:AC46),1))</f>
        <v>194989</v>
      </c>
      <c r="W48" s="3224"/>
      <c r="X48" s="759"/>
      <c r="Y48" s="759"/>
      <c r="Z48" s="759"/>
      <c r="AA48" s="759"/>
      <c r="AB48" s="759"/>
      <c r="AC48" s="759"/>
    </row>
    <row r="49" spans="1:29" ht="15.75" thickBot="1">
      <c r="A49" s="492" t="s">
        <v>2571</v>
      </c>
      <c r="B49" s="493"/>
      <c r="C49" s="1419">
        <f>R49</f>
        <v>204533</v>
      </c>
      <c r="D49" s="1420"/>
      <c r="E49" s="1420"/>
      <c r="F49" s="1420"/>
      <c r="G49" s="1420"/>
      <c r="H49" s="1420"/>
      <c r="I49" s="1420"/>
      <c r="J49" s="1420"/>
      <c r="K49" s="2623"/>
      <c r="L49" s="1146"/>
      <c r="M49" s="1147"/>
      <c r="N49" s="1147"/>
      <c r="O49" s="1147"/>
      <c r="P49" s="3220" t="str">
        <f>A49</f>
        <v>估价对象XX用房的比较价值（楼面单价，元/平方米）</v>
      </c>
      <c r="Q49" s="3221"/>
      <c r="R49" s="3222">
        <f>IF(F1="售价",ROUND(AVERAGE(R48:V48),0),ROUND(AVERAGE(R48:V48),1))</f>
        <v>204533</v>
      </c>
      <c r="S49" s="3222"/>
      <c r="T49" s="3222"/>
      <c r="U49" s="3222"/>
      <c r="V49" s="3222"/>
      <c r="W49" s="322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f>IF(E47&lt;E48,E48/E47-1,E47/E48-1)</f>
        <v>1.1010547320410513E-2</v>
      </c>
      <c r="F52" s="500" t="str">
        <f>IF(OR(E52&gt;=0.3,E52&lt;=-0.3),"超过30%","")</f>
        <v/>
      </c>
      <c r="G52" s="499">
        <f>IF(G47&lt;G48,G48/G47-1,G47/G48-1)</f>
        <v>0</v>
      </c>
      <c r="H52" s="500" t="str">
        <f>IF(OR(G52&gt;=0.3,G52&lt;=-0.3),"超过30%","")</f>
        <v/>
      </c>
      <c r="I52" s="499">
        <f>IF(I47&lt;I48,I48/I47-1,I47/I48-1)</f>
        <v>4.3279828785446783E-2</v>
      </c>
      <c r="J52" s="500" t="str">
        <f>IF(OR(I52&gt;=0.3,I52&lt;=-0.3),"超过30%","")</f>
        <v/>
      </c>
      <c r="K52" s="1108"/>
      <c r="L52" s="1109"/>
      <c r="M52" s="1147"/>
      <c r="N52" s="1147"/>
      <c r="O52" s="1147"/>
    </row>
    <row r="53" spans="1:29" ht="13.5" customHeight="1">
      <c r="A53" s="1147"/>
      <c r="B53" s="1147"/>
      <c r="C53" s="497" t="s">
        <v>2573</v>
      </c>
      <c r="D53" s="501"/>
      <c r="E53" s="499">
        <f>IF(E48&lt;G48,G48/E48-1,E48/G48-1)</f>
        <v>0.10769292738065861</v>
      </c>
      <c r="F53" s="500" t="str">
        <f>IF(OR(E53&gt;=0.2,E53&lt;=-0.2),"超过20%","")</f>
        <v/>
      </c>
      <c r="G53" s="499">
        <f>IF(G48&lt;I48,I48/G48-1,G48/I48-1)</f>
        <v>0.12826877413597693</v>
      </c>
      <c r="H53" s="500" t="str">
        <f>IF(OR(G53&gt;=0.2,G53&lt;=-0.2),"超过20%","")</f>
        <v/>
      </c>
      <c r="I53" s="499">
        <f>IF(I48&lt;E48,E48/I48-1,I48/E48-1)</f>
        <v>1.857540681782055E-2</v>
      </c>
      <c r="J53" s="500" t="str">
        <f>IF(OR(I53&gt;=0.2,I53&lt;=-0.2),"超过20%","")</f>
        <v/>
      </c>
      <c r="K53" s="1108"/>
      <c r="L53" s="1109"/>
      <c r="M53" s="1147"/>
      <c r="N53" s="1147"/>
      <c r="O53" s="1147"/>
    </row>
    <row r="54" spans="1:29" s="502" customFormat="1" ht="13.5" customHeight="1">
      <c r="A54" s="1148"/>
      <c r="B54" s="1148"/>
      <c r="C54" s="497" t="s">
        <v>2574</v>
      </c>
      <c r="D54" s="501"/>
      <c r="E54" s="499">
        <f>IF(E47&lt;G47,G47/E47-1,E47/G47-1)</f>
        <v>0.11988923277406749</v>
      </c>
      <c r="F54" s="500" t="str">
        <f>IF(OR(E54&gt;=0.3,E54&lt;=-0.3),"超过30%","")</f>
        <v/>
      </c>
      <c r="G54" s="499">
        <f>IF(G47&lt;I47,I47/G47-1,G47/I47-1)</f>
        <v>0.17710005350454794</v>
      </c>
      <c r="H54" s="500" t="str">
        <f>IF(OR(G54&gt;=0.3,G54&lt;=-0.3),"超过30%","")</f>
        <v/>
      </c>
      <c r="I54" s="499">
        <f>IF(I47&lt;E47,E47/I47-1,I47/E47-1)</f>
        <v>5.1086142322097405E-2</v>
      </c>
      <c r="J54" s="500" t="str">
        <f>IF(OR(I54&gt;=0.3,I54&lt;=-0.3),"超过30%","")</f>
        <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26"/>
      <c r="Q57" s="504"/>
    </row>
    <row r="58" spans="1:29" s="508" customFormat="1" ht="15">
      <c r="A58" s="505" t="s">
        <v>2576</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27"/>
      <c r="C59" s="1576">
        <v>100</v>
      </c>
      <c r="D59" s="511">
        <v>99.5</v>
      </c>
      <c r="E59" s="512">
        <v>99</v>
      </c>
      <c r="F59" s="512">
        <v>98.5</v>
      </c>
      <c r="G59" s="512">
        <v>98</v>
      </c>
      <c r="H59" s="511">
        <v>97.5</v>
      </c>
      <c r="I59" s="512">
        <v>97</v>
      </c>
      <c r="J59" s="512">
        <v>96.5</v>
      </c>
      <c r="K59" s="512">
        <v>96</v>
      </c>
      <c r="L59" s="511">
        <v>95.5</v>
      </c>
      <c r="M59" s="512">
        <v>95</v>
      </c>
      <c r="N59" s="512">
        <v>94.5</v>
      </c>
      <c r="O59" s="512">
        <v>94</v>
      </c>
      <c r="P59" s="2628"/>
    </row>
    <row r="60" spans="1:29" s="117" customFormat="1" ht="15.75" thickBot="1">
      <c r="A60" s="515" t="s">
        <v>2577</v>
      </c>
      <c r="B60" s="516"/>
      <c r="C60" s="517"/>
      <c r="D60" s="518"/>
      <c r="E60" s="518"/>
      <c r="F60" s="518"/>
      <c r="G60" s="518"/>
      <c r="H60" s="518"/>
      <c r="I60" s="518"/>
      <c r="J60" s="518"/>
      <c r="K60" s="518"/>
      <c r="L60" s="518"/>
      <c r="M60" s="519"/>
      <c r="N60" s="518"/>
      <c r="O60" s="519"/>
      <c r="P60" s="2628"/>
      <c r="Q60" s="504"/>
    </row>
    <row r="61" spans="1:29" s="117" customFormat="1" ht="15">
      <c r="A61" s="521" t="s">
        <v>2578</v>
      </c>
      <c r="B61" s="510"/>
      <c r="C61" s="522" t="s">
        <v>2579</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2580</v>
      </c>
      <c r="B63" s="528" t="s">
        <v>2546</v>
      </c>
      <c r="C63" s="529" t="str">
        <f>C9</f>
        <v>住宅</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0"/>
      <c r="Q66" s="504"/>
    </row>
    <row r="67" spans="1:17" ht="15.75" thickTop="1">
      <c r="A67" s="534"/>
      <c r="B67" s="546" t="s">
        <v>2550</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0"/>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2095</v>
      </c>
      <c r="C82" s="539" t="s">
        <v>2596</v>
      </c>
      <c r="D82" s="539" t="s">
        <v>2597</v>
      </c>
      <c r="E82" s="539" t="s">
        <v>2598</v>
      </c>
      <c r="F82" s="539" t="s">
        <v>2599</v>
      </c>
      <c r="G82" s="539" t="s">
        <v>2600</v>
      </c>
      <c r="H82" s="539"/>
      <c r="I82" s="539"/>
      <c r="J82" s="539"/>
      <c r="K82" s="539"/>
      <c r="L82" s="539"/>
      <c r="M82" s="1385"/>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2602</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2603</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2555</v>
      </c>
      <c r="B100" s="528" t="s">
        <v>2604</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2605</v>
      </c>
      <c r="C102" s="578" t="str">
        <f>C103&amp;"(含)"&amp;"-"&amp;D103</f>
        <v>0(含)-300</v>
      </c>
      <c r="D102" s="578" t="str">
        <f t="shared" ref="D102:L102" si="27">D103&amp;"(含)"&amp;"-"&amp;E103</f>
        <v>300(含)-600</v>
      </c>
      <c r="E102" s="578" t="str">
        <f t="shared" si="27"/>
        <v>600(含)-900</v>
      </c>
      <c r="F102" s="578" t="str">
        <f t="shared" si="27"/>
        <v>900(含)-1200</v>
      </c>
      <c r="G102" s="578" t="str">
        <f t="shared" si="27"/>
        <v>1200(含)-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v>0</v>
      </c>
      <c r="D103" s="595">
        <v>300</v>
      </c>
      <c r="E103" s="595">
        <v>600</v>
      </c>
      <c r="F103" s="595">
        <v>900</v>
      </c>
      <c r="G103" s="595">
        <v>1200</v>
      </c>
      <c r="H103" s="595"/>
      <c r="I103" s="595"/>
      <c r="J103" s="596"/>
      <c r="K103" s="596"/>
      <c r="L103" s="597"/>
      <c r="M103" s="598"/>
      <c r="N103" s="1157"/>
      <c r="O103" s="1157"/>
      <c r="P103" s="2631"/>
      <c r="Q103" s="559"/>
    </row>
    <row r="104" spans="1:17" s="471" customFormat="1" ht="15.75" thickBot="1">
      <c r="A104" s="553"/>
      <c r="B104" s="543"/>
      <c r="C104" s="560">
        <v>100</v>
      </c>
      <c r="D104" s="536">
        <v>103</v>
      </c>
      <c r="E104" s="536">
        <v>106</v>
      </c>
      <c r="F104" s="536">
        <v>109</v>
      </c>
      <c r="G104" s="536">
        <v>112</v>
      </c>
      <c r="H104" s="536"/>
      <c r="I104" s="536"/>
      <c r="J104" s="536"/>
      <c r="K104" s="536"/>
      <c r="L104" s="536"/>
      <c r="M104" s="536"/>
      <c r="N104" s="1156"/>
      <c r="O104" s="1156"/>
      <c r="P104" s="2631"/>
      <c r="Q104" s="559"/>
    </row>
    <row r="105" spans="1:17" ht="15" thickTop="1">
      <c r="A105" s="599"/>
      <c r="B105" s="538" t="s">
        <v>2606</v>
      </c>
      <c r="C105" s="2976" t="s">
        <v>3818</v>
      </c>
      <c r="D105" s="2976" t="s">
        <v>3819</v>
      </c>
      <c r="E105" s="2977" t="s">
        <v>3820</v>
      </c>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2607</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2608</v>
      </c>
      <c r="C109" s="2976" t="s">
        <v>3821</v>
      </c>
      <c r="D109" s="2976" t="s">
        <v>3822</v>
      </c>
      <c r="E109" s="2976" t="s">
        <v>3823</v>
      </c>
      <c r="F109" s="2977" t="s">
        <v>3824</v>
      </c>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103</v>
      </c>
      <c r="E113" s="544">
        <f>D113+$K37</f>
        <v>106</v>
      </c>
      <c r="F113" s="544">
        <f>E113+$K37</f>
        <v>109</v>
      </c>
      <c r="G113" s="544">
        <f>F113+$K37</f>
        <v>112</v>
      </c>
      <c r="H113" s="544">
        <f>G113+$K37</f>
        <v>115</v>
      </c>
      <c r="I113" s="582"/>
      <c r="J113" s="607"/>
      <c r="K113" s="607"/>
      <c r="L113" s="607"/>
      <c r="M113" s="608"/>
      <c r="N113" s="1157"/>
      <c r="O113" s="1157"/>
      <c r="P113" s="2631"/>
      <c r="Q113" s="559"/>
    </row>
    <row r="114" spans="1:17" ht="15" thickTop="1">
      <c r="A114" s="599"/>
      <c r="B114" s="538" t="s">
        <v>2609</v>
      </c>
      <c r="C114" s="2976" t="s">
        <v>3825</v>
      </c>
      <c r="D114" s="554" t="s">
        <v>3826</v>
      </c>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2610</v>
      </c>
      <c r="C116" s="2976" t="s">
        <v>3827</v>
      </c>
      <c r="D116" s="2976" t="s">
        <v>3828</v>
      </c>
      <c r="E116" s="2976" t="s">
        <v>3829</v>
      </c>
      <c r="F116" s="2976" t="s">
        <v>3830</v>
      </c>
      <c r="G116" s="2976" t="s">
        <v>3831</v>
      </c>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2611</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2612</v>
      </c>
      <c r="C122" s="2976" t="s">
        <v>3821</v>
      </c>
      <c r="D122" s="2976" t="s">
        <v>3822</v>
      </c>
      <c r="E122" s="2976" t="s">
        <v>3823</v>
      </c>
      <c r="F122" s="2977" t="s">
        <v>3824</v>
      </c>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2614</v>
      </c>
    </row>
    <row r="137" spans="1:17" ht="15">
      <c r="B137" s="2638" t="s">
        <v>2615</v>
      </c>
      <c r="C137" s="2639"/>
      <c r="D137" s="2639"/>
      <c r="E137" s="2639"/>
      <c r="F137" s="2639"/>
      <c r="G137" s="2640"/>
      <c r="H137" s="2641"/>
      <c r="I137" s="2642" t="s">
        <v>2616</v>
      </c>
      <c r="J137" s="2639"/>
      <c r="K137" s="2643"/>
    </row>
    <row r="138" spans="1:17" ht="15">
      <c r="B138" s="2644"/>
      <c r="C138" s="146" t="s">
        <v>2617</v>
      </c>
      <c r="D138" s="146" t="s">
        <v>2618</v>
      </c>
      <c r="E138" s="2645" t="s">
        <v>2619</v>
      </c>
      <c r="F138" s="2646" t="s">
        <v>2620</v>
      </c>
      <c r="G138" s="146" t="s">
        <v>2618</v>
      </c>
      <c r="H138" s="147" t="s">
        <v>2619</v>
      </c>
      <c r="I138" s="2647"/>
      <c r="J138" s="146" t="s">
        <v>2621</v>
      </c>
      <c r="K138" s="147" t="s">
        <v>2622</v>
      </c>
    </row>
    <row r="139" spans="1:17" ht="15">
      <c r="B139" s="1087">
        <v>6</v>
      </c>
      <c r="C139" s="1088">
        <v>96</v>
      </c>
      <c r="D139" s="2648" t="s">
        <v>2623</v>
      </c>
      <c r="E139" s="1089">
        <v>100</v>
      </c>
      <c r="F139" s="1090">
        <v>102.5</v>
      </c>
      <c r="G139" s="2648" t="s">
        <v>2623</v>
      </c>
      <c r="H139" s="1091">
        <v>105</v>
      </c>
      <c r="I139" s="2649" t="s">
        <v>2624</v>
      </c>
      <c r="J139" s="1088">
        <v>20</v>
      </c>
      <c r="K139" s="1092">
        <f>C145/(J139-2)</f>
        <v>4.0555555555555553E-3</v>
      </c>
    </row>
    <row r="140" spans="1:17" ht="15">
      <c r="B140" s="1093">
        <v>5</v>
      </c>
      <c r="C140" s="1094">
        <v>100</v>
      </c>
      <c r="D140" s="1094"/>
      <c r="E140" s="1095"/>
      <c r="F140" s="1096">
        <v>102</v>
      </c>
      <c r="G140" s="1094"/>
      <c r="H140" s="1097"/>
      <c r="I140" s="2650" t="s">
        <v>2625</v>
      </c>
      <c r="J140" s="315">
        <f>ROUNDUP((J139-1)/2,0)</f>
        <v>10</v>
      </c>
      <c r="K140" s="1098">
        <v>100</v>
      </c>
    </row>
    <row r="141" spans="1:17" ht="15">
      <c r="B141" s="1093">
        <v>4</v>
      </c>
      <c r="C141" s="1094">
        <v>102</v>
      </c>
      <c r="D141" s="1094"/>
      <c r="E141" s="1095"/>
      <c r="F141" s="1096">
        <v>101.5</v>
      </c>
      <c r="G141" s="1094"/>
      <c r="H141" s="1097"/>
      <c r="I141" s="2650" t="s">
        <v>2626</v>
      </c>
      <c r="J141" s="315">
        <v>1</v>
      </c>
      <c r="K141" s="1099">
        <f>ROUND(100+(J141-J140)*K139*100,1)</f>
        <v>96.4</v>
      </c>
    </row>
    <row r="142" spans="1:17" ht="15">
      <c r="B142" s="1093">
        <v>3</v>
      </c>
      <c r="C142" s="1094">
        <v>103</v>
      </c>
      <c r="D142" s="1094"/>
      <c r="E142" s="1095"/>
      <c r="F142" s="1096">
        <v>101</v>
      </c>
      <c r="G142" s="1094"/>
      <c r="H142" s="1097"/>
      <c r="I142" s="2650" t="s">
        <v>2627</v>
      </c>
      <c r="J142" s="315">
        <f>J139</f>
        <v>20</v>
      </c>
      <c r="K142" s="1100">
        <v>95</v>
      </c>
    </row>
    <row r="143" spans="1:17" ht="15">
      <c r="B143" s="1093">
        <v>2</v>
      </c>
      <c r="C143" s="1094">
        <v>100</v>
      </c>
      <c r="D143" s="1094"/>
      <c r="E143" s="1095"/>
      <c r="F143" s="1096">
        <v>100.5</v>
      </c>
      <c r="G143" s="1094"/>
      <c r="H143" s="1097"/>
      <c r="I143" s="2650" t="s">
        <v>2628</v>
      </c>
      <c r="J143" s="1094">
        <v>15</v>
      </c>
      <c r="K143" s="1099">
        <f>ROUND(100+(J143-J140)*K139*100,1)</f>
        <v>102</v>
      </c>
    </row>
    <row r="144" spans="1:17" ht="15">
      <c r="B144" s="1093">
        <v>1</v>
      </c>
      <c r="C144" s="1094">
        <v>98</v>
      </c>
      <c r="D144" s="2651" t="s">
        <v>2629</v>
      </c>
      <c r="E144" s="1095">
        <v>102</v>
      </c>
      <c r="F144" s="1101">
        <v>100</v>
      </c>
      <c r="G144" s="2651" t="s">
        <v>2629</v>
      </c>
      <c r="H144" s="1097">
        <v>105</v>
      </c>
      <c r="I144" s="2650" t="s">
        <v>2628</v>
      </c>
      <c r="J144" s="1094">
        <v>18</v>
      </c>
      <c r="K144" s="1099">
        <f>ROUND(100+(J144-J140)*K139*100,1)</f>
        <v>103.2</v>
      </c>
    </row>
    <row r="145" spans="2:11" ht="15.75" thickBot="1">
      <c r="B145" s="2652" t="s">
        <v>2630</v>
      </c>
      <c r="C145" s="1102">
        <f>ROUND(MAX(C139:C144)/MIN(C139:C144)-1,3)</f>
        <v>7.2999999999999995E-2</v>
      </c>
      <c r="D145" s="1103"/>
      <c r="E145" s="1103"/>
      <c r="F145" s="2653" t="s">
        <v>2631</v>
      </c>
      <c r="G145" s="2654"/>
      <c r="H145" s="2655"/>
      <c r="I145" s="2656" t="s">
        <v>2628</v>
      </c>
      <c r="J145" s="1104">
        <v>8</v>
      </c>
      <c r="K145" s="1105">
        <f>ROUND(100+(J145-J140)*K139*100,1)</f>
        <v>99.2</v>
      </c>
    </row>
    <row r="147" spans="2:11">
      <c r="B147" s="2637" t="s">
        <v>2632</v>
      </c>
    </row>
    <row r="148" spans="2:11">
      <c r="B148" s="2637"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4" zoomScale="90" zoomScaleNormal="90" zoomScaleSheetLayoutView="90" workbookViewId="0">
      <selection activeCell="C33" sqref="C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3802</v>
      </c>
      <c r="D1" s="1823" t="s">
        <v>70</v>
      </c>
      <c r="E1" s="1824" t="s">
        <v>1387</v>
      </c>
      <c r="F1" s="1286">
        <f ca="1">J53</f>
        <v>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f>
        <v>3135</v>
      </c>
      <c r="C2" s="1848" t="s">
        <v>1516</v>
      </c>
      <c r="D2" s="1848"/>
      <c r="E2" s="1849"/>
      <c r="F2" s="1850"/>
      <c r="G2" s="1851"/>
      <c r="H2" s="1843"/>
      <c r="I2" s="1843"/>
      <c r="J2" s="1843"/>
      <c r="K2" s="1844"/>
      <c r="L2" s="1843"/>
      <c r="M2" s="1843"/>
    </row>
    <row r="3" spans="1:37" ht="18" customHeight="1" thickBot="1">
      <c r="A3" s="1852" t="s">
        <v>1517</v>
      </c>
      <c r="B3" s="1853">
        <f ca="1">IF(ISERROR(B2*10000/F43),0,ROUND(B2*10000/F43,0))</f>
        <v>114814</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119</v>
      </c>
      <c r="D5" s="1825" t="s">
        <v>1402</v>
      </c>
      <c r="E5" s="1296"/>
      <c r="F5" s="1297"/>
      <c r="G5" s="1854"/>
      <c r="H5" s="344">
        <v>1</v>
      </c>
      <c r="I5" s="345" t="s">
        <v>1401</v>
      </c>
      <c r="J5" s="1295">
        <f ca="1">J6+J10+J12</f>
        <v>0</v>
      </c>
      <c r="K5" s="1825" t="s">
        <v>1402</v>
      </c>
      <c r="L5" s="1296"/>
      <c r="M5" s="1297"/>
    </row>
    <row r="6" spans="1:37" ht="18" customHeight="1">
      <c r="A6" s="1294" t="s">
        <v>1035</v>
      </c>
      <c r="B6" s="3236" t="s">
        <v>1403</v>
      </c>
      <c r="C6" s="1299">
        <f ca="1">ROUND(F6*F8*F7*(1-F9)/10000,0)</f>
        <v>119</v>
      </c>
      <c r="D6" s="164" t="s">
        <v>3022</v>
      </c>
      <c r="E6" s="347" t="s">
        <v>1405</v>
      </c>
      <c r="F6" s="348">
        <f ca="1">INDIRECT("'数据-取费表'!u"&amp;$G$1)</f>
        <v>13</v>
      </c>
      <c r="G6" s="1854"/>
      <c r="H6" s="1294" t="s">
        <v>1035</v>
      </c>
      <c r="I6" s="3236" t="s">
        <v>1403</v>
      </c>
      <c r="J6" s="346">
        <f ca="1">ROUND(M6*M8*M7*(1-M9)/10000,0)</f>
        <v>0</v>
      </c>
      <c r="K6" s="164" t="s">
        <v>3021</v>
      </c>
      <c r="L6" s="347" t="s">
        <v>1405</v>
      </c>
      <c r="M6" s="348">
        <f ca="1">INDIRECT("'数据-取费表'!z"&amp;$G$1)</f>
        <v>0</v>
      </c>
    </row>
    <row r="7" spans="1:37" ht="18" customHeight="1">
      <c r="A7" s="1298"/>
      <c r="B7" s="3237"/>
      <c r="C7" s="1300"/>
      <c r="D7" s="352"/>
      <c r="E7" s="1301" t="s">
        <v>1406</v>
      </c>
      <c r="F7" s="348">
        <f ca="1">IF(INDIRECT("'数据-取费表'!ah"&amp;$G$1)="",INDIRECT("'数据-取费表'!k"&amp;$G$1),INDIRECT("'数据-取费表'!ah"&amp;$G$1))</f>
        <v>273.05</v>
      </c>
      <c r="G7" s="1854"/>
      <c r="H7" s="349"/>
      <c r="I7" s="3237"/>
      <c r="J7" s="351"/>
      <c r="K7" s="352"/>
      <c r="L7" s="347" t="s">
        <v>1406</v>
      </c>
      <c r="M7" s="348">
        <f ca="1">F7</f>
        <v>273.05</v>
      </c>
    </row>
    <row r="8" spans="1:37" ht="18" customHeight="1">
      <c r="A8" s="349"/>
      <c r="B8" s="3237"/>
      <c r="C8" s="351"/>
      <c r="D8" s="352"/>
      <c r="E8" s="347" t="s">
        <v>1407</v>
      </c>
      <c r="F8" s="348">
        <f ca="1">INDIRECT("'数据-取费表'!ai"&amp;$G$1)</f>
        <v>365</v>
      </c>
      <c r="G8" s="1854"/>
      <c r="H8" s="349"/>
      <c r="I8" s="3237"/>
      <c r="J8" s="351"/>
      <c r="K8" s="352"/>
      <c r="L8" s="347" t="s">
        <v>1407</v>
      </c>
      <c r="M8" s="348">
        <f ca="1">INDIRECT("'数据-取费表'!ai"&amp;$G$1)</f>
        <v>365</v>
      </c>
    </row>
    <row r="9" spans="1:37" ht="18" customHeight="1">
      <c r="A9" s="349"/>
      <c r="B9" s="3238"/>
      <c r="C9" s="351"/>
      <c r="D9" s="352"/>
      <c r="E9" s="347" t="s">
        <v>1408</v>
      </c>
      <c r="F9" s="357">
        <f ca="1">INDIRECT("'数据-取费表'!w"&amp;$G$1)</f>
        <v>0.08</v>
      </c>
      <c r="G9" s="1854"/>
      <c r="H9" s="349"/>
      <c r="I9" s="323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3031</v>
      </c>
      <c r="E10" s="358" t="s">
        <v>1410</v>
      </c>
      <c r="F10" s="1369" t="s">
        <v>3789</v>
      </c>
      <c r="G10" s="1854"/>
      <c r="H10" s="1294" t="s">
        <v>1039</v>
      </c>
      <c r="I10" s="1826" t="s">
        <v>1409</v>
      </c>
      <c r="J10" s="346">
        <f ca="1">ROUND(IF(M10="押一",J6/12*M11,IF(M10="押二",J6/12*2*M11,IF(M10="押三",J6/12*3*M11,J11*M11))),0)</f>
        <v>0</v>
      </c>
      <c r="K10" s="1827" t="s">
        <v>3030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592</v>
      </c>
      <c r="D13" s="1334" t="s">
        <v>1415</v>
      </c>
      <c r="E13" s="1334" t="s">
        <v>1416</v>
      </c>
      <c r="F13" s="1335">
        <f ca="1">INDIRECT("'数据-取费表'!y"&amp;$G$1)</f>
        <v>0.93300000000000005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410</v>
      </c>
      <c r="D14" s="1803" t="s">
        <v>1418</v>
      </c>
      <c r="E14" s="1797"/>
      <c r="F14" s="364"/>
      <c r="G14" s="1854"/>
      <c r="H14" s="1204" t="s">
        <v>1035</v>
      </c>
      <c r="I14" s="347" t="s">
        <v>1419</v>
      </c>
      <c r="J14" s="24">
        <f ca="1">C29</f>
        <v>634</v>
      </c>
      <c r="K14" s="15"/>
      <c r="L14" s="982"/>
      <c r="M14" s="983"/>
    </row>
    <row r="15" spans="1:37" s="1861" customFormat="1" ht="18" customHeight="1" thickBot="1">
      <c r="A15" s="1204" t="s">
        <v>1036</v>
      </c>
      <c r="B15" s="347" t="s">
        <v>1420</v>
      </c>
      <c r="C15" s="24">
        <f ca="1">ROUND(C14*F15,0)</f>
        <v>12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21</v>
      </c>
      <c r="D16" s="347" t="s">
        <v>1421</v>
      </c>
      <c r="E16" s="347" t="s">
        <v>1422</v>
      </c>
      <c r="F16" s="367">
        <f ca="1">IF(INDIRECT("'数据-取费表'!c"&amp;$G$1)="住宅",'数据-取费表'!B34,0)</f>
        <v>0.05</v>
      </c>
      <c r="G16" s="1854"/>
      <c r="H16" s="1332" t="s">
        <v>1030</v>
      </c>
      <c r="I16" s="1333" t="s">
        <v>1424</v>
      </c>
      <c r="J16" s="355">
        <f ca="1">ROUND(J17+J22+J23+J24,0)</f>
        <v>15</v>
      </c>
      <c r="K16" s="1340" t="s">
        <v>1425</v>
      </c>
      <c r="L16" s="1341"/>
      <c r="M16" s="1297"/>
    </row>
    <row r="17" spans="1:37" s="1861" customFormat="1" ht="18" customHeight="1">
      <c r="A17" s="1204" t="s">
        <v>1390</v>
      </c>
      <c r="B17" s="347" t="s">
        <v>1426</v>
      </c>
      <c r="C17" s="24">
        <f ca="1">ROUND(F17*(F43+INDIRECT("'数据-取费表'!S"&amp;$G$1))/10000,0)</f>
        <v>5</v>
      </c>
      <c r="D17" s="347" t="s">
        <v>1427</v>
      </c>
      <c r="E17" s="347" t="s">
        <v>1428</v>
      </c>
      <c r="F17" s="26">
        <f>'数据-取费表'!B35</f>
        <v>200</v>
      </c>
      <c r="G17" s="1857"/>
      <c r="H17" s="1204" t="s">
        <v>1035</v>
      </c>
      <c r="I17" s="347" t="s">
        <v>1429</v>
      </c>
      <c r="J17" s="24">
        <f ca="1">ROUND(IF(项目基本情况!B11="自然人",J5*M17,J18+J19+J20),1)</f>
        <v>5.4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454</v>
      </c>
      <c r="D19" s="140" t="s">
        <v>1436</v>
      </c>
      <c r="E19" s="1821"/>
      <c r="F19" s="26"/>
      <c r="G19" s="1854"/>
      <c r="H19" s="1204" t="s">
        <v>1036</v>
      </c>
      <c r="I19" s="347" t="s">
        <v>1437</v>
      </c>
      <c r="J19" s="24">
        <f ca="1">IF(K19="按租金收入计税",ROUND(J5*M19,2),ROUND(C29*M19*0.7,2))</f>
        <v>5.33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v>
      </c>
      <c r="D20" s="369" t="s">
        <v>1440</v>
      </c>
      <c r="E20" s="347" t="s">
        <v>1422</v>
      </c>
      <c r="F20" s="367">
        <f>'数据-取费表'!B37</f>
        <v>0.02</v>
      </c>
      <c r="G20" s="1857"/>
      <c r="H20" s="1204" t="s">
        <v>1389</v>
      </c>
      <c r="I20" s="164" t="s">
        <v>1441</v>
      </c>
      <c r="J20" s="25">
        <f ca="1">ROUND(M20*M21/10000,2)</f>
        <v>0.09</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73.510000000000005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9.5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28</v>
      </c>
      <c r="D23" s="375" t="str">
        <f>IF(F23&lt;=1,"(建造成本+管理费用)×利率×(建设周期÷2)","(建造成本+管理费用)×((1+利率)^(建设周期÷2)-1)")</f>
        <v>(建造成本+管理费用)×((1+利率)^(建设周期÷2)-1)</v>
      </c>
      <c r="E23" s="347" t="s">
        <v>1452</v>
      </c>
      <c r="F23" s="371">
        <f>'数据-取费表'!B20</f>
        <v>2.5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-15</v>
      </c>
      <c r="K25" s="1348" t="s">
        <v>1464</v>
      </c>
      <c r="L25" s="1349"/>
      <c r="M25" s="1350"/>
    </row>
    <row r="26" spans="1:37">
      <c r="A26" s="1204" t="s">
        <v>1034</v>
      </c>
      <c r="B26" s="347" t="s">
        <v>1465</v>
      </c>
      <c r="C26" s="24">
        <f ca="1">ROUND((C19+C20)*F26,0)</f>
        <v>93</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634</v>
      </c>
      <c r="D29" s="1345"/>
      <c r="E29" s="1343"/>
      <c r="F29" s="1346"/>
      <c r="G29" s="1857"/>
      <c r="H29" s="380" t="s">
        <v>1033</v>
      </c>
      <c r="I29" s="381" t="s">
        <v>1479</v>
      </c>
      <c r="J29" s="382">
        <f ca="1">ROUND(J26/(1+F40)^F41,0)</f>
        <v>0</v>
      </c>
      <c r="K29" s="383" t="s">
        <v>1480</v>
      </c>
      <c r="L29" s="384"/>
      <c r="M29" s="385">
        <f ca="1">INDIRECT("'数据-取费表'!k"&amp;$G$1)</f>
        <v>273.05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34</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20.7</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6.35</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14.28</v>
      </c>
      <c r="D33" s="1831" t="s">
        <v>3773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0.09</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73.510000000000005</v>
      </c>
      <c r="G35" s="1854"/>
      <c r="H35" s="745"/>
      <c r="I35" s="1863"/>
      <c r="J35" s="1864"/>
      <c r="K35" s="1865"/>
      <c r="L35" s="1862"/>
      <c r="M35" s="1862"/>
    </row>
    <row r="36" spans="1:18" ht="18" customHeight="1">
      <c r="A36" s="1355" t="s">
        <v>1039</v>
      </c>
      <c r="B36" s="347" t="s">
        <v>1449</v>
      </c>
      <c r="C36" s="24">
        <f ca="1">ROUND(C29*F36,1)</f>
        <v>9.5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0.9</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2.4</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85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3135</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56</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114814</v>
      </c>
      <c r="D43" s="383" t="s">
        <v>1488</v>
      </c>
      <c r="E43" s="384" t="s">
        <v>1489</v>
      </c>
      <c r="F43" s="385">
        <f ca="1">INDIRECT("'数据-取费表'!k"&amp;$G$1)</f>
        <v>273.05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-4332</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3771</v>
      </c>
      <c r="K47" s="1885" t="s">
        <v>1527</v>
      </c>
      <c r="L47" s="1886">
        <f ca="1">INDIRECT("'数据-取费表'!d"&amp;$G$1)</f>
        <v>70</v>
      </c>
      <c r="M47" s="1841" t="str">
        <f>IF(ISNUMBER(FIND("住宅",C1)),"住宅","非住宅")</f>
        <v>非住宅</v>
      </c>
      <c r="O47" s="1887" t="s">
        <v>1040</v>
      </c>
      <c r="P47" s="1888" t="s">
        <v>1528</v>
      </c>
      <c r="Q47" s="1889">
        <f ca="1">C40+J29</f>
        <v>3135</v>
      </c>
      <c r="R47" s="1889" t="s">
        <v>1529</v>
      </c>
    </row>
    <row r="48" spans="1:18" s="1845" customFormat="1" ht="28.5" thickBot="1">
      <c r="A48" s="1363" t="s">
        <v>1135</v>
      </c>
      <c r="B48" s="345" t="s">
        <v>1401</v>
      </c>
      <c r="C48" s="1820">
        <f ca="1">C49+C53+C55</f>
        <v>0</v>
      </c>
      <c r="D48" s="1365"/>
      <c r="E48" s="1366"/>
      <c r="F48" s="1184"/>
      <c r="G48" s="792"/>
      <c r="H48" s="793"/>
      <c r="I48" s="1890" t="s">
        <v>1530</v>
      </c>
      <c r="J48" s="1891" t="s">
        <v>3772</v>
      </c>
      <c r="K48" s="1892" t="s">
        <v>1531</v>
      </c>
      <c r="L48" s="1893">
        <f ca="1">INDIRECT("'数据-取费表'!f"&amp;$G$1)</f>
        <v>63.72</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3023</v>
      </c>
      <c r="E49" s="1833" t="s">
        <v>1491</v>
      </c>
      <c r="F49" s="1284"/>
      <c r="G49" s="1894"/>
      <c r="H49" s="793"/>
      <c r="I49" s="1890" t="s">
        <v>1534</v>
      </c>
      <c r="J49" s="1895">
        <v>2014</v>
      </c>
      <c r="K49" s="1892" t="s">
        <v>1535</v>
      </c>
      <c r="L49" s="1896"/>
      <c r="O49" s="1897" t="s">
        <v>1042</v>
      </c>
      <c r="P49" s="1888" t="s">
        <v>1536</v>
      </c>
      <c r="Q49" s="1889">
        <f ca="1">C29</f>
        <v>634</v>
      </c>
      <c r="R49" s="1889" t="s">
        <v>1529</v>
      </c>
    </row>
    <row r="50" spans="1:18" s="1845" customFormat="1" ht="13.5" thickBot="1">
      <c r="A50" s="1198"/>
      <c r="B50" s="1201"/>
      <c r="C50" s="1371"/>
      <c r="D50" s="1175"/>
      <c r="E50" s="1280" t="s">
        <v>1406</v>
      </c>
      <c r="F50" s="1281">
        <f ca="1">F7</f>
        <v>273.05</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56</v>
      </c>
      <c r="K51" s="1903" t="s">
        <v>1541</v>
      </c>
      <c r="L51" s="1904">
        <f ca="1">ROUND(-PV(INDIRECT("'数据-取费表'!h"&amp;$G$1),L48,(C39-C13*C76),0),0)</f>
        <v>724</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56</v>
      </c>
      <c r="R52" s="1889" t="s">
        <v>1546</v>
      </c>
    </row>
    <row r="53" spans="1:18" s="1845" customFormat="1" ht="24.75" thickBot="1">
      <c r="A53" s="1408" t="s">
        <v>1137</v>
      </c>
      <c r="B53" s="1834" t="s">
        <v>1409</v>
      </c>
      <c r="C53" s="361">
        <f ca="1">ROUND(IF(F53="押一",C49/12*F11,IF(F53="押二",C49/12*2*F11,IF(F53="押三",C49/12*3*F11,C54*F11))),0)</f>
        <v>0</v>
      </c>
      <c r="D53" s="1827" t="s">
        <v>3030</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56</v>
      </c>
      <c r="K53" s="3234" t="s">
        <v>1548</v>
      </c>
      <c r="L53" s="3235"/>
      <c r="O53" s="1887" t="s">
        <v>1046</v>
      </c>
      <c r="P53" s="1888" t="s">
        <v>1549</v>
      </c>
      <c r="Q53" s="1889">
        <f ca="1">Q47+Q48</f>
        <v>3135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3805</v>
      </c>
      <c r="O55" s="1880" t="s">
        <v>1522</v>
      </c>
      <c r="P55" s="1881" t="s">
        <v>1523</v>
      </c>
      <c r="Q55" s="1882" t="s">
        <v>1524</v>
      </c>
      <c r="R55" s="1882" t="s">
        <v>1525</v>
      </c>
    </row>
    <row r="56" spans="1:18" s="1845" customFormat="1" ht="25.5" thickTop="1" thickBot="1">
      <c r="A56" s="1179">
        <v>2</v>
      </c>
      <c r="B56" s="1180" t="s">
        <v>1414</v>
      </c>
      <c r="C56" s="276">
        <f ca="1">C13</f>
        <v>592</v>
      </c>
      <c r="D56" s="1917"/>
      <c r="E56" s="1918"/>
      <c r="F56" s="1910"/>
      <c r="I56" s="1919" t="s">
        <v>1553</v>
      </c>
      <c r="J56" s="1920" t="s">
        <v>3768</v>
      </c>
      <c r="K56" s="1890" t="s">
        <v>1554</v>
      </c>
      <c r="L56" s="1893">
        <f ca="1">IF(L48&lt;J51,"——",L48-J53)</f>
        <v>7.7199999999999989</v>
      </c>
      <c r="O56" s="1887" t="s">
        <v>1040</v>
      </c>
      <c r="P56" s="1888" t="s">
        <v>1528</v>
      </c>
      <c r="Q56" s="1889">
        <f ca="1">C40+J29</f>
        <v>3135</v>
      </c>
      <c r="R56" s="1889" t="s">
        <v>1529</v>
      </c>
    </row>
    <row r="57" spans="1:18" s="1845" customFormat="1" ht="24.75" thickBot="1">
      <c r="A57" s="1921"/>
      <c r="B57" s="1172" t="s">
        <v>1478</v>
      </c>
      <c r="C57" s="282">
        <f ca="1">C29</f>
        <v>634</v>
      </c>
      <c r="D57" s="1922"/>
      <c r="E57" s="1923"/>
      <c r="F57" s="1924"/>
      <c r="I57" s="1925" t="s">
        <v>1555</v>
      </c>
      <c r="J57" s="1926" t="str">
        <f ca="1">IF(OR(M47="住宅",J51&lt;L48,J56="是"),"——",J51-L48)</f>
        <v>——</v>
      </c>
      <c r="K57" s="1890" t="s">
        <v>1556</v>
      </c>
      <c r="L57" s="1893">
        <f ca="1">IF(L48&lt;J51,"——",IF(L55="比较法",L49,IF(L55="基准地价",L50,L51)))</f>
        <v>724</v>
      </c>
      <c r="O57" s="1887" t="s">
        <v>1041</v>
      </c>
      <c r="P57" s="1888" t="s">
        <v>1557</v>
      </c>
      <c r="Q57" s="1889" t="e">
        <f ca="1">L60</f>
        <v>#DIV/0!</v>
      </c>
      <c r="R57" s="1889" t="s">
        <v>1558</v>
      </c>
    </row>
    <row r="58" spans="1:18" s="1845" customFormat="1" ht="24.75" thickBot="1">
      <c r="A58" s="360" t="s">
        <v>1030</v>
      </c>
      <c r="B58" s="1180" t="s">
        <v>1424</v>
      </c>
      <c r="C58" s="361">
        <f ca="1">ROUND(C59+C64+C65+C66,0)</f>
        <v>64</v>
      </c>
      <c r="D58" s="1182" t="s">
        <v>1425</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ROUND(IF(项目基本情况!B11="自然人",C48*F59,C60+C61+C62),1)</f>
        <v>53.4</v>
      </c>
      <c r="D59" s="1185" t="s">
        <v>1430</v>
      </c>
      <c r="E59" s="1186" t="s">
        <v>1431</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1564</v>
      </c>
      <c r="J60" s="1929" t="str">
        <f ca="1">IF(OR(M47="住宅",J51&lt;L48,J56="是"),"0",ROUND(J59/(1+J52)^J53,0))</f>
        <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IF(项目基本情况!B11="自然人","——",IF(D61="按租金收入计税",ROUND(C48*F61,2),IF(D61="按房产原值计税",ROUND(C57*F61*0.7,2),INDIRECT("'数据-取费表'!Aj"&amp;$G$1))))</f>
        <v>53.26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1495</v>
      </c>
      <c r="B62" s="1171" t="s">
        <v>1496</v>
      </c>
      <c r="C62" s="25">
        <f ca="1">IF(项目基本情况!B11="自然人","——",ROUND(F62*F63/10000,2))</f>
        <v>0.09</v>
      </c>
      <c r="D62" s="1187" t="s">
        <v>1497</v>
      </c>
      <c r="E62" s="1172" t="s">
        <v>1498</v>
      </c>
      <c r="F62" s="371">
        <f t="shared" si="0"/>
        <v>12</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73.510000000000005</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9.5</v>
      </c>
      <c r="D64" s="1186" t="s">
        <v>1502</v>
      </c>
      <c r="E64" s="1172" t="s">
        <v>1494</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0.9</v>
      </c>
      <c r="D65" s="1186" t="s">
        <v>1454</v>
      </c>
      <c r="E65" s="1172" t="s">
        <v>1455</v>
      </c>
      <c r="F65" s="376">
        <f t="shared" ca="1" si="0"/>
        <v>1.5E-3</v>
      </c>
      <c r="I65" s="1932" t="s">
        <v>1578</v>
      </c>
      <c r="J65" s="1933">
        <v>40</v>
      </c>
      <c r="K65" s="1933">
        <v>30</v>
      </c>
      <c r="L65" s="1933">
        <v>50</v>
      </c>
      <c r="M65" s="1935">
        <v>0.02</v>
      </c>
      <c r="O65" s="1887" t="s">
        <v>1040</v>
      </c>
      <c r="P65" s="1888" t="s">
        <v>1579</v>
      </c>
      <c r="Q65" s="1889">
        <f ca="1">C40+J29</f>
        <v>3135</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1557</v>
      </c>
      <c r="Q66" s="1889" t="e">
        <f ca="1">L60</f>
        <v>#DIV/0!</v>
      </c>
      <c r="R66" s="1889" t="s">
        <v>1580</v>
      </c>
    </row>
    <row r="67" spans="1:18" s="1845" customFormat="1" ht="16.5" thickBot="1">
      <c r="A67" s="1179" t="s">
        <v>1031</v>
      </c>
      <c r="B67" s="1189" t="s">
        <v>1463</v>
      </c>
      <c r="C67" s="361">
        <f ca="1">C48-C58</f>
        <v>-64</v>
      </c>
      <c r="D67" s="1185" t="s">
        <v>1464</v>
      </c>
      <c r="E67" s="1190"/>
      <c r="F67" s="1191"/>
      <c r="O67" s="1897" t="s">
        <v>1042</v>
      </c>
      <c r="P67" s="1888" t="s">
        <v>1561</v>
      </c>
      <c r="Q67" s="1936">
        <f ca="1">L51</f>
        <v>724</v>
      </c>
      <c r="R67" s="1889" t="s">
        <v>1581</v>
      </c>
    </row>
    <row r="68" spans="1:18" s="1845" customFormat="1" ht="16.5" thickBot="1">
      <c r="A68" s="1169" t="s">
        <v>1032</v>
      </c>
      <c r="B68" s="1170" t="s">
        <v>1485</v>
      </c>
      <c r="C68" s="346">
        <f ca="1">ROUND(C67*(1-((1+F70)/(1+F68))^F69)/(F68-F70),0)</f>
        <v>-1197</v>
      </c>
      <c r="D68" s="1187" t="s">
        <v>1469</v>
      </c>
      <c r="E68" s="1172" t="s">
        <v>1470</v>
      </c>
      <c r="F68" s="357">
        <f ca="1">F40</f>
        <v>0.05</v>
      </c>
      <c r="O68" s="1897" t="s">
        <v>1043</v>
      </c>
      <c r="P68" s="1937" t="s">
        <v>1582</v>
      </c>
      <c r="Q68" s="1889">
        <f ca="1">ROUND(Q69-Q70*Q71,0)</f>
        <v>35</v>
      </c>
      <c r="R68" s="1889" t="s">
        <v>1051</v>
      </c>
    </row>
    <row r="69" spans="1:18" s="1845" customFormat="1" ht="13.5" thickBot="1">
      <c r="A69" s="1173"/>
      <c r="B69" s="1174"/>
      <c r="C69" s="351"/>
      <c r="D69" s="1192" t="s">
        <v>1473</v>
      </c>
      <c r="E69" s="1172" t="s">
        <v>1474</v>
      </c>
      <c r="F69" s="379">
        <f ca="1">F41</f>
        <v>56</v>
      </c>
      <c r="O69" s="1897" t="s">
        <v>1048</v>
      </c>
      <c r="P69" s="1937" t="s">
        <v>1583</v>
      </c>
      <c r="Q69" s="1889">
        <f ca="1">C39</f>
        <v>85</v>
      </c>
      <c r="R69" s="1889" t="s">
        <v>1529</v>
      </c>
    </row>
    <row r="70" spans="1:18" s="1845" customFormat="1" ht="13.5" thickBot="1">
      <c r="A70" s="1176"/>
      <c r="B70" s="1177"/>
      <c r="C70" s="355"/>
      <c r="D70" s="1188"/>
      <c r="E70" s="1172" t="s">
        <v>1477</v>
      </c>
      <c r="F70" s="1278"/>
      <c r="O70" s="1897" t="s">
        <v>1049</v>
      </c>
      <c r="P70" s="1937" t="s">
        <v>1584</v>
      </c>
      <c r="Q70" s="1889">
        <f ca="1">C13</f>
        <v>592</v>
      </c>
      <c r="R70" s="1889" t="s">
        <v>1529</v>
      </c>
    </row>
    <row r="71" spans="1:18" s="1845" customFormat="1" ht="13.5" thickBot="1">
      <c r="A71" s="1193" t="s">
        <v>1033</v>
      </c>
      <c r="B71" s="1194" t="s">
        <v>1487</v>
      </c>
      <c r="C71" s="382">
        <f ca="1">ROUND(C68*10000/F71,0)</f>
        <v>-43838</v>
      </c>
      <c r="D71" s="1195" t="s">
        <v>1488</v>
      </c>
      <c r="E71" s="1196" t="s">
        <v>1489</v>
      </c>
      <c r="F71" s="385">
        <f ca="1">F43</f>
        <v>273.05</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1506</v>
      </c>
      <c r="C75" s="387">
        <f ca="1">ROUND(C13*C76,0)</f>
        <v>50</v>
      </c>
      <c r="D75" s="1845"/>
      <c r="E75" s="1845"/>
      <c r="F75" s="1845"/>
      <c r="K75" s="1871"/>
      <c r="L75" s="1845"/>
      <c r="O75" s="1887" t="s">
        <v>1046</v>
      </c>
      <c r="P75" s="1888" t="s">
        <v>1549</v>
      </c>
      <c r="Q75" s="1889" t="e">
        <f ca="1">Q65+Q66</f>
        <v>#DIV/0!</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0.41200000000000003</v>
      </c>
    </row>
    <row r="80" spans="1:18">
      <c r="B80" s="386" t="s">
        <v>1511</v>
      </c>
      <c r="C80" s="318">
        <f ca="1">ROUND(C75/C39,3)</f>
        <v>0.58799999999999997</v>
      </c>
    </row>
    <row r="81" spans="2:3">
      <c r="B81" s="314" t="s">
        <v>1512</v>
      </c>
      <c r="C81" s="282"/>
    </row>
    <row r="82" spans="2:3">
      <c r="B82" s="317" t="s">
        <v>1513</v>
      </c>
      <c r="C82" s="319">
        <f ca="1">1-C83</f>
        <v>0.81099999999999994</v>
      </c>
    </row>
    <row r="83" spans="2:3">
      <c r="B83" s="317" t="s">
        <v>1514</v>
      </c>
      <c r="C83" s="318">
        <f ca="1">ROUND(C13/C40,3)</f>
        <v>0.189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36" t="s">
        <v>1403</v>
      </c>
      <c r="C6" s="1299">
        <f ca="1">ROUND(F6*F8*F7*(1-F9),0)</f>
        <v>0</v>
      </c>
      <c r="D6" s="164" t="s">
        <v>3019</v>
      </c>
      <c r="E6" s="347" t="s">
        <v>1405</v>
      </c>
      <c r="F6" s="348">
        <f ca="1">INDIRECT("'数据-取费表'!u"&amp;$G$1)</f>
        <v>0</v>
      </c>
      <c r="G6" s="1854"/>
      <c r="H6" s="1294" t="s">
        <v>1035</v>
      </c>
      <c r="I6" s="3236" t="s">
        <v>1403</v>
      </c>
      <c r="J6" s="346">
        <f ca="1">ROUND(M6*M8*M7*(1-M9),0)</f>
        <v>0</v>
      </c>
      <c r="K6" s="1837" t="s">
        <v>3020</v>
      </c>
      <c r="L6" s="347" t="s">
        <v>1405</v>
      </c>
      <c r="M6" s="348">
        <f ca="1">INDIRECT("'数据-取费表'!z"&amp;$G$1)</f>
        <v>0</v>
      </c>
    </row>
    <row r="7" spans="1:37" ht="18" customHeight="1">
      <c r="A7" s="1298"/>
      <c r="B7" s="3237"/>
      <c r="C7" s="1300"/>
      <c r="D7" s="352"/>
      <c r="E7" s="1301" t="s">
        <v>1406</v>
      </c>
      <c r="F7" s="348">
        <f ca="1">IF(INDIRECT("'数据-取费表'!ah"&amp;$G$1)="",INDIRECT("'数据-取费表'!k"&amp;$G$1),INDIRECT("'数据-取费表'!ah"&amp;$G$1))</f>
        <v>0</v>
      </c>
      <c r="G7" s="1854"/>
      <c r="H7" s="349"/>
      <c r="I7" s="3237"/>
      <c r="J7" s="351"/>
      <c r="K7" s="352"/>
      <c r="L7" s="347" t="s">
        <v>1406</v>
      </c>
      <c r="M7" s="348">
        <f ca="1">F7</f>
        <v>0</v>
      </c>
    </row>
    <row r="8" spans="1:37" ht="18" customHeight="1">
      <c r="A8" s="349"/>
      <c r="B8" s="3237"/>
      <c r="C8" s="351"/>
      <c r="D8" s="352"/>
      <c r="E8" s="347" t="s">
        <v>1407</v>
      </c>
      <c r="F8" s="348">
        <f ca="1">INDIRECT("'数据-取费表'!ai"&amp;$G$1)</f>
        <v>0</v>
      </c>
      <c r="G8" s="1854"/>
      <c r="H8" s="349"/>
      <c r="I8" s="3237"/>
      <c r="J8" s="351"/>
      <c r="K8" s="352"/>
      <c r="L8" s="347" t="s">
        <v>1407</v>
      </c>
      <c r="M8" s="348">
        <f ca="1">INDIRECT("'数据-取费表'!ai"&amp;$G$1)</f>
        <v>0</v>
      </c>
    </row>
    <row r="9" spans="1:37" ht="18" customHeight="1">
      <c r="A9" s="349"/>
      <c r="B9" s="3238"/>
      <c r="C9" s="351"/>
      <c r="D9" s="352"/>
      <c r="E9" s="347" t="s">
        <v>1408</v>
      </c>
      <c r="F9" s="357">
        <f ca="1">INDIRECT("'数据-取费表'!w"&amp;$G$1)</f>
        <v>0</v>
      </c>
      <c r="G9" s="1854"/>
      <c r="H9" s="349"/>
      <c r="I9" s="323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3030</v>
      </c>
      <c r="E10" s="358" t="s">
        <v>1410</v>
      </c>
      <c r="F10" s="1369"/>
      <c r="G10" s="1854"/>
      <c r="H10" s="1294" t="s">
        <v>1039</v>
      </c>
      <c r="I10" s="1826" t="s">
        <v>1409</v>
      </c>
      <c r="J10" s="346">
        <f ca="1">ROUND(IF(M10="押一",J6/12*M11,IF(M10="押二",J6/12*2*M11,IF(M10="押三",J6/12*3*M11,J11*M11))),0)</f>
        <v>0</v>
      </c>
      <c r="K10" s="1838" t="s">
        <v>3032</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3033</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34" t="s">
        <v>1548</v>
      </c>
      <c r="L53" s="3235"/>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12</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16.5"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2518</v>
      </c>
      <c r="B1" s="2564"/>
      <c r="C1" s="2564"/>
      <c r="D1" s="2564"/>
      <c r="E1" s="2565"/>
    </row>
    <row r="2" spans="1:6" ht="15.75">
      <c r="A2" s="2566" t="s">
        <v>2319</v>
      </c>
      <c r="B2" s="2567">
        <f ca="1">SUMIF(B6:B13,"&lt;&gt;#ref!",B6:B13)</f>
        <v>3135</v>
      </c>
      <c r="C2" s="2568" t="s">
        <v>2511</v>
      </c>
      <c r="D2" s="2569" t="s">
        <v>2512</v>
      </c>
      <c r="E2" s="2570">
        <f>SUM(E6:E13)</f>
        <v>273.05</v>
      </c>
    </row>
    <row r="3" spans="1:6" ht="15.75">
      <c r="A3" s="2566" t="s">
        <v>1395</v>
      </c>
      <c r="B3" s="2567">
        <f ca="1">ROUND(B2*10000/E2,0)</f>
        <v>114814</v>
      </c>
      <c r="C3" s="2568" t="s">
        <v>2519</v>
      </c>
      <c r="D3" s="2571"/>
      <c r="E3" s="2572"/>
    </row>
    <row r="4" spans="1:6" ht="15.75">
      <c r="A4" s="2573"/>
      <c r="B4" s="2571"/>
      <c r="C4" s="2571"/>
      <c r="D4" s="2571"/>
      <c r="E4" s="2572"/>
    </row>
    <row r="5" spans="1:6" ht="15">
      <c r="A5" s="2574" t="s">
        <v>2513</v>
      </c>
      <c r="B5" s="3239" t="s">
        <v>2514</v>
      </c>
      <c r="C5" s="3239"/>
      <c r="D5" s="2575"/>
      <c r="E5" s="2576" t="s">
        <v>2515</v>
      </c>
      <c r="F5" s="2577" t="s">
        <v>2516</v>
      </c>
    </row>
    <row r="6" spans="1:6">
      <c r="A6" s="2578" t="str">
        <f>'数据-取费表'!AN6</f>
        <v>收益法</v>
      </c>
      <c r="B6" s="2577">
        <f ca="1">IF(F6="是",'数据-取费表'!AO6,0)</f>
        <v>3135</v>
      </c>
      <c r="C6" s="2568" t="s">
        <v>2511</v>
      </c>
      <c r="D6" s="2571"/>
      <c r="E6" s="2579">
        <f>IF(OR(A6=0,F6="否"),0,'数据-取费表'!K6+'数据-取费表'!S6)</f>
        <v>273.05</v>
      </c>
      <c r="F6" s="2580" t="s">
        <v>2517</v>
      </c>
    </row>
    <row r="7" spans="1:6">
      <c r="A7" s="2578">
        <f>'数据-取费表'!AN7</f>
        <v>0</v>
      </c>
      <c r="B7" s="2577" t="e">
        <f ca="1">IF(F7="是",'数据-取费表'!AO7,0)</f>
        <v>#REF!</v>
      </c>
      <c r="C7" s="2568" t="s">
        <v>2511</v>
      </c>
      <c r="D7" s="2571"/>
      <c r="E7" s="2579">
        <f>IF(OR(A7=0,F7="否"),0,'数据-取费表'!K7+'数据-取费表'!S7)</f>
        <v>0</v>
      </c>
      <c r="F7" s="2580" t="s">
        <v>2517</v>
      </c>
    </row>
    <row r="8" spans="1:6">
      <c r="A8" s="2578">
        <f>'数据-取费表'!AN8</f>
        <v>0</v>
      </c>
      <c r="B8" s="2577" t="e">
        <f ca="1">IF(F8="是",'数据-取费表'!AO8,0)</f>
        <v>#REF!</v>
      </c>
      <c r="C8" s="2568" t="s">
        <v>2511</v>
      </c>
      <c r="D8" s="2571"/>
      <c r="E8" s="2579">
        <f>IF(OR(A8=0,F8="否"),0,'数据-取费表'!K8+'数据-取费表'!S8)</f>
        <v>0</v>
      </c>
      <c r="F8" s="2580" t="s">
        <v>2517</v>
      </c>
    </row>
    <row r="9" spans="1:6">
      <c r="A9" s="2578">
        <f>'数据-取费表'!AN9</f>
        <v>0</v>
      </c>
      <c r="B9" s="2577" t="e">
        <f ca="1">IF(F9="是",'数据-取费表'!AO9,0)</f>
        <v>#REF!</v>
      </c>
      <c r="C9" s="2568" t="s">
        <v>2511</v>
      </c>
      <c r="D9" s="2571"/>
      <c r="E9" s="2579">
        <f>IF(OR(A9=0,F9="否"),0,'数据-取费表'!K9+'数据-取费表'!S9)</f>
        <v>0</v>
      </c>
      <c r="F9" s="2580" t="s">
        <v>2517</v>
      </c>
    </row>
    <row r="10" spans="1:6">
      <c r="A10" s="2578">
        <f>'数据-取费表'!AN10</f>
        <v>0</v>
      </c>
      <c r="B10" s="2577" t="e">
        <f ca="1">IF(F10="是",'数据-取费表'!AO10,0)</f>
        <v>#REF!</v>
      </c>
      <c r="C10" s="2568" t="s">
        <v>2511</v>
      </c>
      <c r="D10" s="2571"/>
      <c r="E10" s="2579">
        <f>IF(OR(A10=0,F10="否"),0,'数据-取费表'!K10+'数据-取费表'!S10)</f>
        <v>0</v>
      </c>
      <c r="F10" s="2580" t="s">
        <v>2517</v>
      </c>
    </row>
    <row r="11" spans="1:6">
      <c r="A11" s="2578">
        <f>'数据-取费表'!AN11</f>
        <v>0</v>
      </c>
      <c r="B11" s="2577" t="e">
        <f ca="1">IF(F11="是",'数据-取费表'!AO11,0)</f>
        <v>#REF!</v>
      </c>
      <c r="C11" s="2568" t="s">
        <v>2511</v>
      </c>
      <c r="D11" s="2571"/>
      <c r="E11" s="2579">
        <f>IF(OR(A11=0,F11="否"),0,'数据-取费表'!K11+'数据-取费表'!S11)</f>
        <v>0</v>
      </c>
      <c r="F11" s="2580" t="s">
        <v>2517</v>
      </c>
    </row>
    <row r="12" spans="1:6">
      <c r="A12" s="2578">
        <f>'数据-取费表'!AN12</f>
        <v>0</v>
      </c>
      <c r="B12" s="2577" t="e">
        <f ca="1">IF(F12="是",'数据-取费表'!AO12,0)</f>
        <v>#REF!</v>
      </c>
      <c r="C12" s="2568" t="s">
        <v>2511</v>
      </c>
      <c r="D12" s="2571"/>
      <c r="E12" s="2579">
        <f>IF(OR(A12=0,F12="否"),0,'数据-取费表'!K12+'数据-取费表'!S12)</f>
        <v>0</v>
      </c>
      <c r="F12" s="2580" t="s">
        <v>2517</v>
      </c>
    </row>
    <row r="13" spans="1:6" ht="15" thickBot="1">
      <c r="A13" s="2581">
        <f>'数据-取费表'!AN13</f>
        <v>0</v>
      </c>
      <c r="B13" s="2577" t="e">
        <f ca="1">IF(F13="是",'数据-取费表'!AO13,0)</f>
        <v>#REF!</v>
      </c>
      <c r="C13" s="2582" t="s">
        <v>2511</v>
      </c>
      <c r="D13" s="2583"/>
      <c r="E13" s="2579">
        <f>IF(OR(A13=0,F13="否"),0,'数据-取费表'!K13+'数据-取费表'!S13)</f>
        <v>0</v>
      </c>
      <c r="F13" s="2580"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0" t="s">
        <v>1076</v>
      </c>
      <c r="B1" s="3241"/>
      <c r="C1" s="3242"/>
      <c r="D1" s="3243">
        <f>SUM(I10,I15,I20,I21,I23)</f>
        <v>0</v>
      </c>
      <c r="E1" s="3243"/>
      <c r="F1" s="3243"/>
      <c r="G1" s="3243"/>
      <c r="H1" s="3243"/>
      <c r="I1" s="3244"/>
    </row>
    <row r="2" spans="1:9">
      <c r="A2" s="3245" t="s">
        <v>1077</v>
      </c>
      <c r="B2" s="3246" t="s">
        <v>1078</v>
      </c>
      <c r="C2" s="3246"/>
      <c r="D2" s="1304" t="s">
        <v>1079</v>
      </c>
      <c r="E2" s="1304" t="s">
        <v>1080</v>
      </c>
      <c r="F2" s="1304" t="s">
        <v>1081</v>
      </c>
      <c r="G2" s="1304" t="s">
        <v>1082</v>
      </c>
      <c r="H2" s="1304" t="s">
        <v>1083</v>
      </c>
      <c r="I2" s="1305" t="s">
        <v>1084</v>
      </c>
    </row>
    <row r="3" spans="1:9">
      <c r="A3" s="3245"/>
      <c r="B3" s="3246" t="s">
        <v>1085</v>
      </c>
      <c r="C3" s="3246"/>
      <c r="D3" s="1306"/>
      <c r="E3" s="1304"/>
      <c r="F3" s="1307"/>
      <c r="G3" s="1307"/>
      <c r="H3" s="1308"/>
      <c r="I3" s="1309">
        <f>ROUND(D3*E3*F3*G3*H3/10000,0)</f>
        <v>0</v>
      </c>
    </row>
    <row r="4" spans="1:9">
      <c r="A4" s="3245"/>
      <c r="B4" s="3246" t="s">
        <v>1086</v>
      </c>
      <c r="C4" s="3246"/>
      <c r="D4" s="1306"/>
      <c r="E4" s="1304"/>
      <c r="F4" s="1307"/>
      <c r="G4" s="1307"/>
      <c r="H4" s="1308"/>
      <c r="I4" s="1309">
        <f t="shared" ref="I4:I9" si="0">ROUND(D4*E4*F4*G4*H4/10000,0)</f>
        <v>0</v>
      </c>
    </row>
    <row r="5" spans="1:9">
      <c r="A5" s="3245"/>
      <c r="B5" s="3246" t="s">
        <v>1087</v>
      </c>
      <c r="C5" s="3246"/>
      <c r="D5" s="1306"/>
      <c r="E5" s="1304"/>
      <c r="F5" s="1307"/>
      <c r="G5" s="1307"/>
      <c r="H5" s="1308"/>
      <c r="I5" s="1309">
        <f t="shared" si="0"/>
        <v>0</v>
      </c>
    </row>
    <row r="6" spans="1:9">
      <c r="A6" s="3245"/>
      <c r="B6" s="3246" t="s">
        <v>1088</v>
      </c>
      <c r="C6" s="3246"/>
      <c r="D6" s="1306"/>
      <c r="E6" s="1304"/>
      <c r="F6" s="1307"/>
      <c r="G6" s="1307"/>
      <c r="H6" s="1308"/>
      <c r="I6" s="1309">
        <f t="shared" si="0"/>
        <v>0</v>
      </c>
    </row>
    <row r="7" spans="1:9">
      <c r="A7" s="3245"/>
      <c r="B7" s="3246" t="s">
        <v>1089</v>
      </c>
      <c r="C7" s="3246"/>
      <c r="D7" s="1306"/>
      <c r="E7" s="1304"/>
      <c r="F7" s="1307"/>
      <c r="G7" s="1307"/>
      <c r="H7" s="1308"/>
      <c r="I7" s="1309">
        <f t="shared" si="0"/>
        <v>0</v>
      </c>
    </row>
    <row r="8" spans="1:9">
      <c r="A8" s="3245"/>
      <c r="B8" s="3246" t="s">
        <v>1090</v>
      </c>
      <c r="C8" s="3246"/>
      <c r="D8" s="1306"/>
      <c r="E8" s="1304"/>
      <c r="F8" s="1307"/>
      <c r="G8" s="1307"/>
      <c r="H8" s="1308"/>
      <c r="I8" s="1309">
        <f t="shared" si="0"/>
        <v>0</v>
      </c>
    </row>
    <row r="9" spans="1:9">
      <c r="A9" s="3245"/>
      <c r="B9" s="3246" t="s">
        <v>1091</v>
      </c>
      <c r="C9" s="3246"/>
      <c r="D9" s="1306"/>
      <c r="E9" s="1304"/>
      <c r="F9" s="1307"/>
      <c r="G9" s="1307"/>
      <c r="H9" s="1308"/>
      <c r="I9" s="1309">
        <f t="shared" si="0"/>
        <v>0</v>
      </c>
    </row>
    <row r="10" spans="1:9">
      <c r="A10" s="3245"/>
      <c r="B10" s="3247" t="s">
        <v>1092</v>
      </c>
      <c r="C10" s="3247"/>
      <c r="D10" s="1310"/>
      <c r="E10" s="1310" t="e">
        <f>ROUND(D1*10000/D10/H9,0)</f>
        <v>#DIV/0!</v>
      </c>
      <c r="F10" s="1311"/>
      <c r="G10" s="1311"/>
      <c r="H10" s="1312"/>
      <c r="I10" s="1313">
        <f>SUM(I3:I9)</f>
        <v>0</v>
      </c>
    </row>
    <row r="11" spans="1:9" ht="14.25">
      <c r="A11" s="3245" t="s">
        <v>1093</v>
      </c>
      <c r="B11" s="3246" t="s">
        <v>1094</v>
      </c>
      <c r="C11" s="3246"/>
      <c r="D11" s="1306" t="s">
        <v>1095</v>
      </c>
      <c r="E11" s="1306" t="s">
        <v>1096</v>
      </c>
      <c r="F11" s="1307" t="s">
        <v>1097</v>
      </c>
      <c r="G11" s="1307" t="s">
        <v>1083</v>
      </c>
      <c r="H11" s="1314" t="s">
        <v>1098</v>
      </c>
      <c r="I11" s="1305" t="s">
        <v>1084</v>
      </c>
    </row>
    <row r="12" spans="1:9">
      <c r="A12" s="3245"/>
      <c r="B12" s="3246" t="s">
        <v>1099</v>
      </c>
      <c r="C12" s="3246"/>
      <c r="D12" s="1306"/>
      <c r="E12" s="1306"/>
      <c r="F12" s="1307"/>
      <c r="G12" s="1308"/>
      <c r="H12" s="1315"/>
      <c r="I12" s="1305">
        <f>ROUND(D12*E12*F12*G12/10000,0)</f>
        <v>0</v>
      </c>
    </row>
    <row r="13" spans="1:9">
      <c r="A13" s="3245"/>
      <c r="B13" s="3246" t="s">
        <v>1100</v>
      </c>
      <c r="C13" s="3246"/>
      <c r="D13" s="1306"/>
      <c r="E13" s="1306"/>
      <c r="F13" s="1307"/>
      <c r="G13" s="1308"/>
      <c r="H13" s="1315"/>
      <c r="I13" s="1305">
        <f>ROUND(D13*E13*F13*G13/10000,0)</f>
        <v>0</v>
      </c>
    </row>
    <row r="14" spans="1:9">
      <c r="A14" s="3245"/>
      <c r="B14" s="3246" t="s">
        <v>1101</v>
      </c>
      <c r="C14" s="3246"/>
      <c r="D14" s="1306"/>
      <c r="E14" s="1306"/>
      <c r="F14" s="1307"/>
      <c r="G14" s="1308"/>
      <c r="H14" s="1315"/>
      <c r="I14" s="1305">
        <f>ROUND(D14*E14*F14*G14/10000,0)</f>
        <v>0</v>
      </c>
    </row>
    <row r="15" spans="1:9">
      <c r="A15" s="3245"/>
      <c r="B15" s="3247" t="s">
        <v>1092</v>
      </c>
      <c r="C15" s="3247"/>
      <c r="D15" s="1310"/>
      <c r="E15" s="1310">
        <f>SUM(E12:E14)</f>
        <v>0</v>
      </c>
      <c r="F15" s="1311"/>
      <c r="G15" s="1308"/>
      <c r="H15" s="1315"/>
      <c r="I15" s="1316">
        <f>SUM(I12:I14)</f>
        <v>0</v>
      </c>
    </row>
    <row r="16" spans="1:9" ht="24">
      <c r="A16" s="3245" t="s">
        <v>1102</v>
      </c>
      <c r="B16" s="3246" t="s">
        <v>1103</v>
      </c>
      <c r="C16" s="3246"/>
      <c r="D16" s="1306" t="s">
        <v>1079</v>
      </c>
      <c r="E16" s="1317" t="s">
        <v>1104</v>
      </c>
      <c r="F16" s="1307" t="s">
        <v>1105</v>
      </c>
      <c r="G16" s="1308" t="s">
        <v>1083</v>
      </c>
      <c r="H16" s="1314" t="s">
        <v>1098</v>
      </c>
      <c r="I16" s="1305" t="s">
        <v>1084</v>
      </c>
    </row>
    <row r="17" spans="1:9" ht="14.25">
      <c r="A17" s="3245"/>
      <c r="B17" s="3246" t="s">
        <v>1106</v>
      </c>
      <c r="C17" s="3246"/>
      <c r="D17" s="1306"/>
      <c r="E17" s="1306"/>
      <c r="F17" s="1307"/>
      <c r="G17" s="1308"/>
      <c r="H17" s="1318"/>
      <c r="I17" s="1319">
        <f>ROUND(D17*E17*F17*G17/10000,0)</f>
        <v>0</v>
      </c>
    </row>
    <row r="18" spans="1:9" ht="14.25">
      <c r="A18" s="3245"/>
      <c r="B18" s="3246" t="s">
        <v>1107</v>
      </c>
      <c r="C18" s="3246"/>
      <c r="D18" s="1306"/>
      <c r="E18" s="1306"/>
      <c r="F18" s="1307"/>
      <c r="G18" s="1308"/>
      <c r="H18" s="1318"/>
      <c r="I18" s="1319">
        <f>ROUND(D18*E18*F18*G18/10000,0)</f>
        <v>0</v>
      </c>
    </row>
    <row r="19" spans="1:9" ht="14.25">
      <c r="A19" s="3245"/>
      <c r="B19" s="3246" t="s">
        <v>1108</v>
      </c>
      <c r="C19" s="3246"/>
      <c r="D19" s="1306"/>
      <c r="E19" s="1306"/>
      <c r="F19" s="1307"/>
      <c r="G19" s="1308"/>
      <c r="H19" s="1318"/>
      <c r="I19" s="1319">
        <f>ROUND(D19*E19*F19*G19/10000,0)</f>
        <v>0</v>
      </c>
    </row>
    <row r="20" spans="1:9">
      <c r="A20" s="3245"/>
      <c r="B20" s="3247" t="s">
        <v>1092</v>
      </c>
      <c r="C20" s="3247"/>
      <c r="D20" s="1310">
        <f>SUM(D17:D19)</f>
        <v>0</v>
      </c>
      <c r="E20" s="1310"/>
      <c r="F20" s="1311"/>
      <c r="G20" s="1308"/>
      <c r="H20" s="1315"/>
      <c r="I20" s="1316">
        <f>SUM(I17:I19)</f>
        <v>0</v>
      </c>
    </row>
    <row r="21" spans="1:9">
      <c r="A21" s="3245" t="s">
        <v>1109</v>
      </c>
      <c r="B21" s="3249"/>
      <c r="C21" s="3249"/>
      <c r="D21" s="3249"/>
      <c r="E21" s="3249"/>
      <c r="F21" s="3249"/>
      <c r="G21" s="3249"/>
      <c r="H21" s="1768">
        <v>0.1</v>
      </c>
      <c r="I21" s="1313">
        <f>ROUND(I10*H21,0)</f>
        <v>0</v>
      </c>
    </row>
    <row r="22" spans="1:9" ht="14.25">
      <c r="A22" s="3250" t="s">
        <v>1110</v>
      </c>
      <c r="B22" s="3251"/>
      <c r="C22" s="3252"/>
      <c r="D22" s="1320" t="s">
        <v>1111</v>
      </c>
      <c r="E22" s="1320" t="s">
        <v>1112</v>
      </c>
      <c r="F22" s="1321" t="s">
        <v>1113</v>
      </c>
      <c r="G22" s="1321" t="s">
        <v>1114</v>
      </c>
      <c r="H22" s="1314" t="s">
        <v>1115</v>
      </c>
      <c r="I22" s="1305" t="s">
        <v>1116</v>
      </c>
    </row>
    <row r="23" spans="1:9" ht="14.25" thickBot="1">
      <c r="A23" s="3253"/>
      <c r="B23" s="3254"/>
      <c r="C23" s="3255"/>
      <c r="D23" s="1322"/>
      <c r="E23" s="1322"/>
      <c r="F23" s="1322"/>
      <c r="G23" s="1323"/>
      <c r="H23" s="1324"/>
      <c r="I23" s="1325">
        <f>ROUND(E23*D23*F23*(1-G23)/10000,0)</f>
        <v>0</v>
      </c>
    </row>
    <row r="26" spans="1:9">
      <c r="A26" s="1326" t="s">
        <v>1117</v>
      </c>
      <c r="B26" s="1326"/>
      <c r="C26" s="1326"/>
      <c r="D26" s="1326"/>
      <c r="E26" s="3256">
        <f>C27-C30-C31-C32</f>
        <v>0</v>
      </c>
      <c r="F26" s="3256"/>
      <c r="G26" s="3256"/>
      <c r="H26" s="1740" t="s">
        <v>1340</v>
      </c>
    </row>
    <row r="27" spans="1:9">
      <c r="A27" s="1327">
        <v>1</v>
      </c>
      <c r="B27" s="1328" t="s">
        <v>1118</v>
      </c>
      <c r="C27" s="1328">
        <f>C28+C29</f>
        <v>0</v>
      </c>
      <c r="D27" s="1328"/>
      <c r="E27" s="3257"/>
      <c r="F27" s="3257"/>
      <c r="G27" s="3257"/>
    </row>
    <row r="28" spans="1:9">
      <c r="A28" s="1329" t="s">
        <v>1119</v>
      </c>
      <c r="B28" s="1328" t="s">
        <v>1120</v>
      </c>
      <c r="C28" s="1328"/>
      <c r="D28" s="1328"/>
      <c r="E28" s="3257"/>
      <c r="F28" s="3257"/>
      <c r="G28" s="325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8"/>
      <c r="F32" s="3248"/>
      <c r="G32" s="3248"/>
    </row>
    <row r="33" spans="1:7" hidden="1">
      <c r="A33" s="3258" t="s">
        <v>1129</v>
      </c>
      <c r="B33" s="3259"/>
      <c r="C33" s="3259"/>
      <c r="D33" s="3260"/>
      <c r="E33" s="3256"/>
      <c r="F33" s="3256"/>
      <c r="G33" s="3256"/>
    </row>
    <row r="34" spans="1:7" hidden="1">
      <c r="A34" s="1331">
        <v>1</v>
      </c>
      <c r="B34" s="1328" t="s">
        <v>1130</v>
      </c>
      <c r="C34" s="1328"/>
      <c r="D34" s="1328"/>
      <c r="E34" s="3257"/>
      <c r="F34" s="3257"/>
      <c r="G34" s="3257"/>
    </row>
    <row r="35" spans="1:7" hidden="1">
      <c r="A35" s="1331">
        <v>2</v>
      </c>
      <c r="B35" s="1328" t="s">
        <v>1131</v>
      </c>
      <c r="C35" s="1328"/>
      <c r="D35" s="1328"/>
      <c r="E35" s="3257"/>
      <c r="F35" s="3257"/>
      <c r="G35" s="3257"/>
    </row>
    <row r="36" spans="1:7" hidden="1">
      <c r="A36" s="1331">
        <v>3</v>
      </c>
      <c r="B36" s="1328" t="s">
        <v>1132</v>
      </c>
      <c r="C36" s="1328"/>
      <c r="D36" s="1328"/>
      <c r="E36" s="3257"/>
      <c r="F36" s="3257"/>
      <c r="G36" s="3257"/>
    </row>
    <row r="37" spans="1:7" hidden="1">
      <c r="A37" s="1331">
        <v>4</v>
      </c>
      <c r="B37" s="1328" t="s">
        <v>1133</v>
      </c>
      <c r="C37" s="1328"/>
      <c r="D37" s="1328"/>
      <c r="E37" s="3257"/>
      <c r="F37" s="3257"/>
      <c r="G37" s="3257"/>
    </row>
    <row r="38" spans="1:7" hidden="1">
      <c r="A38" s="3258" t="s">
        <v>1134</v>
      </c>
      <c r="B38" s="3259"/>
      <c r="C38" s="3259"/>
      <c r="D38" s="3260"/>
      <c r="E38" s="3256"/>
      <c r="F38" s="3256"/>
      <c r="G38" s="32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4" t="s">
        <v>2634</v>
      </c>
      <c r="C1" s="1637" t="s">
        <v>2522</v>
      </c>
      <c r="D1" s="1624"/>
      <c r="E1" s="2657"/>
      <c r="F1" s="2586"/>
      <c r="G1" s="1634" t="s">
        <v>2635</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2319</v>
      </c>
      <c r="B2" s="1421" t="e">
        <f ca="1">IF(C2="——",ROUND(C49*D3/10000,0),ROUND(C49*D3/10000,0)-D2)</f>
        <v>#DIV/0!</v>
      </c>
      <c r="C2" s="2588"/>
      <c r="D2" s="1368" t="e">
        <f ca="1">SUMIF(INDIRECT("'"&amp;F2&amp;"'"&amp;"!A:A"),"承租人权益价值",INDIRECT("'"&amp;F2&amp;"'"&amp;"!c:c"))</f>
        <v>#REF!</v>
      </c>
      <c r="E2" s="2589" t="s">
        <v>2320</v>
      </c>
      <c r="F2" s="2590"/>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2321</v>
      </c>
      <c r="B3" s="609" t="e">
        <f ca="1">IF(C2="——",C49,ROUND(B2*10000/D3,0))</f>
        <v>#DIV/0!</v>
      </c>
      <c r="C3" s="400" t="s">
        <v>2636</v>
      </c>
      <c r="D3" s="399">
        <f>IF(D1="",'数据-汇总表'!E3,SUMIF('数据-汇总表'!$C19:$C33,D1,'数据-汇总表'!$E19:$E33))</f>
        <v>44831.789999999994</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192" t="s">
        <v>2639</v>
      </c>
      <c r="S4" s="3193"/>
      <c r="T4" s="3192" t="s">
        <v>2640</v>
      </c>
      <c r="U4" s="3193"/>
      <c r="V4" s="3217" t="s">
        <v>2641</v>
      </c>
      <c r="W4" s="3217"/>
      <c r="X4" s="1816"/>
      <c r="Y4" s="3192" t="s">
        <v>2643</v>
      </c>
      <c r="Z4" s="3193"/>
      <c r="AA4" s="3187" t="s">
        <v>2639</v>
      </c>
      <c r="AB4" s="3217" t="s">
        <v>2640</v>
      </c>
      <c r="AC4" s="3187" t="s">
        <v>2641</v>
      </c>
    </row>
    <row r="5" spans="1:29" ht="15">
      <c r="A5" s="404"/>
      <c r="B5" s="405"/>
      <c r="C5" s="3262" t="s">
        <v>2534</v>
      </c>
      <c r="D5" s="3199"/>
      <c r="E5" s="3261" t="s">
        <v>2535</v>
      </c>
      <c r="F5" s="3197"/>
      <c r="G5" s="3262" t="s">
        <v>2536</v>
      </c>
      <c r="H5" s="3199"/>
      <c r="I5" s="3262" t="s">
        <v>2537</v>
      </c>
      <c r="J5" s="3199"/>
      <c r="K5" s="610"/>
      <c r="L5" s="1133"/>
      <c r="M5" s="1134"/>
      <c r="N5" s="1134"/>
      <c r="O5" s="1134"/>
      <c r="P5" s="3211"/>
      <c r="Q5" s="3212"/>
      <c r="R5" s="3194"/>
      <c r="S5" s="3195"/>
      <c r="T5" s="3194"/>
      <c r="U5" s="3195"/>
      <c r="V5" s="3217"/>
      <c r="W5" s="3217"/>
      <c r="X5" s="1816"/>
      <c r="Y5" s="3194"/>
      <c r="Z5" s="3195"/>
      <c r="AA5" s="3188"/>
      <c r="AB5" s="3217"/>
      <c r="AC5" s="3188"/>
    </row>
    <row r="6" spans="1:29" ht="15.75" thickBot="1">
      <c r="A6" s="406"/>
      <c r="B6" s="407"/>
      <c r="C6" s="3218" t="s">
        <v>2538</v>
      </c>
      <c r="D6" s="3201"/>
      <c r="E6" s="3202" t="s">
        <v>2538</v>
      </c>
      <c r="F6" s="3203"/>
      <c r="G6" s="3218" t="s">
        <v>2538</v>
      </c>
      <c r="H6" s="3201"/>
      <c r="I6" s="3218" t="s">
        <v>2538</v>
      </c>
      <c r="J6" s="3201"/>
      <c r="K6" s="610" t="s">
        <v>2539</v>
      </c>
      <c r="L6" s="1133"/>
      <c r="M6" s="1134"/>
      <c r="N6" s="1134"/>
      <c r="O6" s="1134"/>
      <c r="P6" s="3213"/>
      <c r="Q6" s="3214"/>
      <c r="R6" s="3194"/>
      <c r="S6" s="3195"/>
      <c r="T6" s="3215"/>
      <c r="U6" s="3216"/>
      <c r="V6" s="3217"/>
      <c r="W6" s="3217"/>
      <c r="X6" s="1816"/>
      <c r="Y6" s="3215"/>
      <c r="Z6" s="3216"/>
      <c r="AA6" s="3189"/>
      <c r="AB6" s="3217"/>
      <c r="AC6" s="3189"/>
    </row>
    <row r="7" spans="1:29" s="117" customFormat="1" ht="15.75" thickBot="1">
      <c r="A7" s="408" t="s">
        <v>2540</v>
      </c>
      <c r="B7" s="409"/>
      <c r="C7" s="410">
        <f>'数据-取费表'!B2</f>
        <v>43430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2541</v>
      </c>
      <c r="Q7" s="3219"/>
      <c r="R7" s="770" t="s">
        <v>17</v>
      </c>
      <c r="S7" s="771">
        <f t="shared" ref="S7:S15" si="0">F7</f>
        <v>0</v>
      </c>
      <c r="T7" s="770" t="s">
        <v>17</v>
      </c>
      <c r="U7" s="771">
        <f t="shared" ref="U7:U15" si="1">H7</f>
        <v>0</v>
      </c>
      <c r="V7" s="770" t="s">
        <v>17</v>
      </c>
      <c r="W7" s="771">
        <f t="shared" ref="W7:W15" si="2">J7</f>
        <v>0</v>
      </c>
      <c r="X7" s="772"/>
      <c r="Y7" s="3190" t="s">
        <v>2541</v>
      </c>
      <c r="Z7" s="3191"/>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2544</v>
      </c>
      <c r="Q8" s="3191"/>
      <c r="R8" s="770" t="s">
        <v>17</v>
      </c>
      <c r="S8" s="771">
        <f t="shared" si="0"/>
        <v>0</v>
      </c>
      <c r="T8" s="770" t="s">
        <v>17</v>
      </c>
      <c r="U8" s="771">
        <f t="shared" si="1"/>
        <v>0</v>
      </c>
      <c r="V8" s="770" t="s">
        <v>17</v>
      </c>
      <c r="W8" s="771">
        <f t="shared" si="2"/>
        <v>0</v>
      </c>
      <c r="X8" s="772"/>
      <c r="Y8" s="3190" t="s">
        <v>2544</v>
      </c>
      <c r="Z8" s="3191"/>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4" t="s">
        <v>2547</v>
      </c>
      <c r="Q9" s="1798" t="str">
        <f t="shared" ref="Q9:Q15" si="6">B9</f>
        <v>用途</v>
      </c>
      <c r="R9" s="770" t="s">
        <v>17</v>
      </c>
      <c r="S9" s="771">
        <f t="shared" si="0"/>
        <v>100</v>
      </c>
      <c r="T9" s="770" t="s">
        <v>17</v>
      </c>
      <c r="U9" s="771">
        <f t="shared" si="1"/>
        <v>100</v>
      </c>
      <c r="V9" s="770" t="s">
        <v>17</v>
      </c>
      <c r="W9" s="771">
        <f t="shared" si="2"/>
        <v>100</v>
      </c>
      <c r="X9" s="772"/>
      <c r="Y9" s="3044"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4"/>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4"/>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4"/>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4"/>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15">
      <c r="A15" s="440" t="s">
        <v>2551</v>
      </c>
      <c r="B15" s="69" t="s">
        <v>2645</v>
      </c>
      <c r="C15" s="2604">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2" t="s">
        <v>2552</v>
      </c>
      <c r="Q15" s="1813" t="str">
        <f t="shared" si="6"/>
        <v>商业繁华度</v>
      </c>
      <c r="R15" s="774" t="s">
        <v>17</v>
      </c>
      <c r="S15" s="775">
        <f t="shared" si="0"/>
        <v>100</v>
      </c>
      <c r="T15" s="774" t="s">
        <v>17</v>
      </c>
      <c r="U15" s="775">
        <f t="shared" si="1"/>
        <v>100</v>
      </c>
      <c r="V15" s="774" t="s">
        <v>17</v>
      </c>
      <c r="W15" s="775">
        <f t="shared" si="2"/>
        <v>100</v>
      </c>
      <c r="X15" s="1816"/>
      <c r="Y15" s="3225" t="s">
        <v>2552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3"/>
      <c r="Q16" s="1813"/>
      <c r="R16" s="774"/>
      <c r="S16" s="775"/>
      <c r="T16" s="774"/>
      <c r="U16" s="775"/>
      <c r="V16" s="774"/>
      <c r="W16" s="775"/>
      <c r="X16" s="1816"/>
      <c r="Y16" s="3226"/>
      <c r="Z16" s="1817"/>
      <c r="AA16" s="1814">
        <v>1</v>
      </c>
      <c r="AB16" s="1814">
        <v>1</v>
      </c>
      <c r="AC16" s="1814">
        <v>1</v>
      </c>
    </row>
    <row r="17" spans="1:29" ht="270.75">
      <c r="A17" s="428"/>
      <c r="B17" s="451" t="s">
        <v>2094</v>
      </c>
      <c r="C17" s="2608" t="str">
        <f>估价对象房地状况!C6</f>
        <v>估价对象位于海淀区万柳地区，北距北四环西路约600米，周边路网较为密集，行车出入便捷。且项目及周边道路均设有停车场位，停车便捷。周边1公里范围内有481路、664路等公交线路，且地铁10号线巴沟站位于地块东北角，公交便捷度好。综上分析，估价对象所在区位整体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3"/>
      <c r="Q17" s="1813" t="str">
        <f>B17</f>
        <v>交通便捷度</v>
      </c>
      <c r="R17" s="774" t="s">
        <v>17</v>
      </c>
      <c r="S17" s="775">
        <f>F17</f>
        <v>100</v>
      </c>
      <c r="T17" s="774" t="s">
        <v>17</v>
      </c>
      <c r="U17" s="775">
        <f>H17</f>
        <v>100</v>
      </c>
      <c r="V17" s="774" t="s">
        <v>17</v>
      </c>
      <c r="W17" s="775">
        <f>J17</f>
        <v>100</v>
      </c>
      <c r="X17" s="1816"/>
      <c r="Y17" s="3226"/>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33"/>
      <c r="Q18" s="1813"/>
      <c r="R18" s="774"/>
      <c r="S18" s="775"/>
      <c r="T18" s="774"/>
      <c r="U18" s="775"/>
      <c r="V18" s="774"/>
      <c r="W18" s="775"/>
      <c r="X18" s="1816"/>
      <c r="Y18" s="3226"/>
      <c r="Z18" s="1817"/>
      <c r="AA18" s="1814">
        <v>1</v>
      </c>
      <c r="AB18" s="1814">
        <v>1</v>
      </c>
      <c r="AC18" s="1814">
        <v>1</v>
      </c>
    </row>
    <row r="19" spans="1:29" ht="213.75">
      <c r="A19" s="428"/>
      <c r="B19" s="451" t="s">
        <v>2646</v>
      </c>
      <c r="C19" s="2608" t="str">
        <f>估价对象房地状况!C7</f>
        <v>周边1.5公里内的公共服务配套设施较为齐备，有购物场所（北京华联万柳购物中心）、医院（北京市海淀区妇幼保健院）、银行（中国光大银行、浦发银行）、学校（北京市八一学校、万泉小学）、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3"/>
      <c r="Q19" s="1813" t="str">
        <f>B19</f>
        <v>公共配套设施</v>
      </c>
      <c r="R19" s="774" t="s">
        <v>17</v>
      </c>
      <c r="S19" s="775">
        <f>F19</f>
        <v>100</v>
      </c>
      <c r="T19" s="774" t="s">
        <v>17</v>
      </c>
      <c r="U19" s="775">
        <f>H19</f>
        <v>100</v>
      </c>
      <c r="V19" s="774" t="s">
        <v>17</v>
      </c>
      <c r="W19" s="775">
        <f>J19</f>
        <v>100</v>
      </c>
      <c r="X19" s="1816"/>
      <c r="Y19" s="3226"/>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33"/>
      <c r="Q20" s="1813"/>
      <c r="R20" s="774"/>
      <c r="S20" s="775"/>
      <c r="T20" s="774"/>
      <c r="U20" s="775"/>
      <c r="V20" s="774"/>
      <c r="W20" s="775"/>
      <c r="X20" s="1816"/>
      <c r="Y20" s="3226"/>
      <c r="Z20" s="1817"/>
      <c r="AA20" s="1814">
        <v>1</v>
      </c>
      <c r="AB20" s="1814">
        <v>1</v>
      </c>
      <c r="AC20" s="1814">
        <v>1</v>
      </c>
    </row>
    <row r="21" spans="1:29" ht="42.75">
      <c r="A21" s="428"/>
      <c r="B21" s="1387" t="s">
        <v>2647</v>
      </c>
      <c r="C21" s="2608"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3"/>
      <c r="Q21" s="1813" t="str">
        <f>B21</f>
        <v>基础设施水平</v>
      </c>
      <c r="R21" s="774" t="s">
        <v>17</v>
      </c>
      <c r="S21" s="775">
        <f>F21</f>
        <v>100</v>
      </c>
      <c r="T21" s="774" t="s">
        <v>17</v>
      </c>
      <c r="U21" s="775">
        <f>H21</f>
        <v>100</v>
      </c>
      <c r="V21" s="774" t="s">
        <v>17</v>
      </c>
      <c r="W21" s="775">
        <f>J21</f>
        <v>100</v>
      </c>
      <c r="X21" s="1816"/>
      <c r="Y21" s="3226"/>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33"/>
      <c r="Q22" s="1813"/>
      <c r="R22" s="774"/>
      <c r="S22" s="775"/>
      <c r="T22" s="774"/>
      <c r="U22" s="775"/>
      <c r="V22" s="774"/>
      <c r="W22" s="775"/>
      <c r="X22" s="1816"/>
      <c r="Y22" s="3226"/>
      <c r="Z22" s="1817"/>
      <c r="AA22" s="1814">
        <v>1</v>
      </c>
      <c r="AB22" s="1814">
        <v>1</v>
      </c>
      <c r="AC22" s="1814">
        <v>1</v>
      </c>
    </row>
    <row r="23" spans="1:29" ht="156.75">
      <c r="A23" s="428"/>
      <c r="B23" s="451" t="s">
        <v>2099</v>
      </c>
      <c r="C23" s="2664" t="str">
        <f>估价对象房地状况!C9</f>
        <v>估价对象所在区域有2公里范围内有海淀公园、巴沟山水园等自然景观；人文环境：多家幼儿园及北京市八一中学、中国人民大学等，人文环境好；综合评价环境状况较好。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3"/>
      <c r="Q23" s="1813" t="str">
        <f>B23</f>
        <v>自然及人文环境</v>
      </c>
      <c r="R23" s="774" t="s">
        <v>17</v>
      </c>
      <c r="S23" s="775">
        <f>F23</f>
        <v>100</v>
      </c>
      <c r="T23" s="774" t="s">
        <v>17</v>
      </c>
      <c r="U23" s="775">
        <f>H23</f>
        <v>100</v>
      </c>
      <c r="V23" s="774" t="s">
        <v>17</v>
      </c>
      <c r="W23" s="775">
        <f>J23</f>
        <v>100</v>
      </c>
      <c r="X23" s="1816"/>
      <c r="Y23" s="3226"/>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33"/>
      <c r="Q24" s="1813"/>
      <c r="R24" s="774"/>
      <c r="S24" s="775"/>
      <c r="T24" s="774"/>
      <c r="U24" s="775"/>
      <c r="V24" s="774"/>
      <c r="W24" s="775"/>
      <c r="X24" s="1816"/>
      <c r="Y24" s="3226"/>
      <c r="Z24" s="1817"/>
      <c r="AA24" s="1814">
        <v>1</v>
      </c>
      <c r="AB24" s="1814">
        <v>1</v>
      </c>
      <c r="AC24" s="1814">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3"/>
      <c r="Q25" s="1813" t="str">
        <f t="shared" ref="Q25:Q46" si="11">B25</f>
        <v>临街状况</v>
      </c>
      <c r="R25" s="774" t="s">
        <v>17</v>
      </c>
      <c r="S25" s="775">
        <f>F25</f>
        <v>100</v>
      </c>
      <c r="T25" s="774" t="s">
        <v>17</v>
      </c>
      <c r="U25" s="775">
        <f>H25</f>
        <v>100</v>
      </c>
      <c r="V25" s="774" t="s">
        <v>17</v>
      </c>
      <c r="W25" s="775">
        <f>J25</f>
        <v>100</v>
      </c>
      <c r="X25" s="1816"/>
      <c r="Y25" s="3226"/>
      <c r="Z25" s="1817" t="str">
        <f>Q25</f>
        <v>临街状况</v>
      </c>
      <c r="AA25" s="1814">
        <f t="shared" si="3"/>
        <v>1</v>
      </c>
      <c r="AB25" s="1814">
        <f t="shared" si="4"/>
        <v>1</v>
      </c>
      <c r="AC25" s="1814">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3"/>
      <c r="Q26" s="1813" t="str">
        <f t="shared" si="11"/>
        <v>平面位置/可视性</v>
      </c>
      <c r="R26" s="774" t="s">
        <v>17</v>
      </c>
      <c r="S26" s="775">
        <f>F26</f>
        <v>100</v>
      </c>
      <c r="T26" s="774" t="s">
        <v>17</v>
      </c>
      <c r="U26" s="775">
        <f>H26</f>
        <v>100</v>
      </c>
      <c r="V26" s="774" t="s">
        <v>17</v>
      </c>
      <c r="W26" s="775">
        <f>J26</f>
        <v>100</v>
      </c>
      <c r="X26" s="1816"/>
      <c r="Y26" s="3226"/>
      <c r="Z26" s="1817" t="str">
        <f>Q26</f>
        <v>平面位置/可视性</v>
      </c>
      <c r="AA26" s="1814">
        <f t="shared" si="3"/>
        <v>1</v>
      </c>
      <c r="AB26" s="1814">
        <f t="shared" si="4"/>
        <v>1</v>
      </c>
      <c r="AC26" s="1814">
        <f t="shared" si="5"/>
        <v>1</v>
      </c>
    </row>
    <row r="27" spans="1:29" s="117" customFormat="1" ht="15">
      <c r="A27" s="431"/>
      <c r="B27" s="451" t="s">
        <v>2650</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33"/>
      <c r="Q27" s="1798" t="str">
        <f t="shared" si="11"/>
        <v>人流量</v>
      </c>
      <c r="R27" s="770" t="s">
        <v>17</v>
      </c>
      <c r="S27" s="771">
        <f>F27</f>
        <v>100</v>
      </c>
      <c r="T27" s="770" t="s">
        <v>17</v>
      </c>
      <c r="U27" s="771">
        <f>H27</f>
        <v>100</v>
      </c>
      <c r="V27" s="770" t="s">
        <v>17</v>
      </c>
      <c r="W27" s="771">
        <f>J27</f>
        <v>100</v>
      </c>
      <c r="X27" s="772"/>
      <c r="Y27" s="3226"/>
      <c r="Z27" s="55" t="str">
        <f>Q27</f>
        <v>人流量</v>
      </c>
      <c r="AA27" s="1814">
        <f>D27/F27</f>
        <v>1</v>
      </c>
      <c r="AB27" s="1814">
        <f>D27/H27</f>
        <v>1</v>
      </c>
      <c r="AC27" s="1814">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3"/>
      <c r="Q29" s="1813">
        <f t="shared" si="11"/>
        <v>111</v>
      </c>
      <c r="R29" s="774" t="s">
        <v>17</v>
      </c>
      <c r="S29" s="775">
        <f t="shared" si="12"/>
        <v>100</v>
      </c>
      <c r="T29" s="774" t="s">
        <v>17</v>
      </c>
      <c r="U29" s="775">
        <f t="shared" si="13"/>
        <v>100</v>
      </c>
      <c r="V29" s="774" t="s">
        <v>17</v>
      </c>
      <c r="W29" s="775">
        <f t="shared" si="14"/>
        <v>100</v>
      </c>
      <c r="X29" s="1816"/>
      <c r="Y29" s="322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3"/>
      <c r="Q30" s="1813">
        <f t="shared" si="11"/>
        <v>111</v>
      </c>
      <c r="R30" s="774" t="s">
        <v>17</v>
      </c>
      <c r="S30" s="775">
        <f t="shared" si="12"/>
        <v>100</v>
      </c>
      <c r="T30" s="774" t="s">
        <v>17</v>
      </c>
      <c r="U30" s="775">
        <f t="shared" si="13"/>
        <v>100</v>
      </c>
      <c r="V30" s="774" t="s">
        <v>17</v>
      </c>
      <c r="W30" s="775">
        <f t="shared" si="14"/>
        <v>100</v>
      </c>
      <c r="X30" s="1816"/>
      <c r="Y30" s="322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3"/>
      <c r="Q31" s="1813">
        <f t="shared" si="11"/>
        <v>111</v>
      </c>
      <c r="R31" s="774" t="s">
        <v>17</v>
      </c>
      <c r="S31" s="775">
        <f t="shared" si="12"/>
        <v>100</v>
      </c>
      <c r="T31" s="774" t="s">
        <v>17</v>
      </c>
      <c r="U31" s="775">
        <f t="shared" si="13"/>
        <v>100</v>
      </c>
      <c r="V31" s="774" t="s">
        <v>17</v>
      </c>
      <c r="W31" s="775">
        <f t="shared" si="14"/>
        <v>100</v>
      </c>
      <c r="X31" s="1816"/>
      <c r="Y31" s="3226"/>
      <c r="Z31" s="1817">
        <f t="shared" si="15"/>
        <v>111</v>
      </c>
      <c r="AA31" s="1814">
        <f t="shared" si="3"/>
        <v>1</v>
      </c>
      <c r="AB31" s="1814">
        <f t="shared" si="4"/>
        <v>1</v>
      </c>
      <c r="AC31" s="1814">
        <f t="shared" si="5"/>
        <v>1</v>
      </c>
    </row>
    <row r="32" spans="1:29" ht="15">
      <c r="A32" s="440" t="s">
        <v>2555</v>
      </c>
      <c r="B32" s="71" t="s">
        <v>2652</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27" t="s">
        <v>2557</v>
      </c>
      <c r="Q32" s="1813" t="str">
        <f t="shared" si="11"/>
        <v>商业类型</v>
      </c>
      <c r="R32" s="774" t="s">
        <v>17</v>
      </c>
      <c r="S32" s="775">
        <f t="shared" si="12"/>
        <v>100</v>
      </c>
      <c r="T32" s="774" t="s">
        <v>17</v>
      </c>
      <c r="U32" s="775">
        <f t="shared" si="13"/>
        <v>100</v>
      </c>
      <c r="V32" s="774" t="s">
        <v>17</v>
      </c>
      <c r="W32" s="775">
        <f t="shared" si="14"/>
        <v>100</v>
      </c>
      <c r="X32" s="1816"/>
      <c r="Y32" s="3230" t="s">
        <v>2557</v>
      </c>
      <c r="Z32" s="1817" t="str">
        <f t="shared" si="15"/>
        <v>商业类型</v>
      </c>
      <c r="AA32" s="1814">
        <f t="shared" si="3"/>
        <v>1</v>
      </c>
      <c r="AB32" s="1814">
        <f t="shared" si="4"/>
        <v>1</v>
      </c>
      <c r="AC32" s="1814">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8"/>
      <c r="Q33" s="776" t="str">
        <f t="shared" si="11"/>
        <v>项目建筑规模</v>
      </c>
      <c r="R33" s="777" t="s">
        <v>17</v>
      </c>
      <c r="S33" s="778" t="e">
        <f t="shared" si="12"/>
        <v>#N/A</v>
      </c>
      <c r="T33" s="777" t="s">
        <v>17</v>
      </c>
      <c r="U33" s="778" t="e">
        <f t="shared" si="13"/>
        <v>#N/A</v>
      </c>
      <c r="V33" s="777" t="s">
        <v>17</v>
      </c>
      <c r="W33" s="778" t="e">
        <f t="shared" si="14"/>
        <v>#N/A</v>
      </c>
      <c r="X33" s="779"/>
      <c r="Y33" s="3230"/>
      <c r="Z33" s="780" t="str">
        <f t="shared" si="15"/>
        <v>项目建筑规模</v>
      </c>
      <c r="AA33" s="1814" t="e">
        <f t="shared" si="3"/>
        <v>#N/A</v>
      </c>
      <c r="AB33" s="1814" t="e">
        <f t="shared" si="4"/>
        <v>#N/A</v>
      </c>
      <c r="AC33" s="1814" t="e">
        <f t="shared" si="5"/>
        <v>#N/A</v>
      </c>
    </row>
    <row r="34" spans="1:29" ht="15">
      <c r="A34" s="472"/>
      <c r="B34" s="422" t="s">
        <v>2559</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28"/>
      <c r="Q34" s="1813" t="str">
        <f t="shared" si="11"/>
        <v>建筑结构</v>
      </c>
      <c r="R34" s="774" t="s">
        <v>17</v>
      </c>
      <c r="S34" s="775">
        <f t="shared" si="12"/>
        <v>100</v>
      </c>
      <c r="T34" s="774" t="s">
        <v>17</v>
      </c>
      <c r="U34" s="775">
        <f t="shared" si="13"/>
        <v>100</v>
      </c>
      <c r="V34" s="774" t="s">
        <v>17</v>
      </c>
      <c r="W34" s="775">
        <f t="shared" si="14"/>
        <v>100</v>
      </c>
      <c r="X34" s="1816"/>
      <c r="Y34" s="3230"/>
      <c r="Z34" s="1817" t="str">
        <f t="shared" si="15"/>
        <v>建筑结构</v>
      </c>
      <c r="AA34" s="1814">
        <f t="shared" si="3"/>
        <v>1</v>
      </c>
      <c r="AB34" s="1814">
        <f t="shared" si="4"/>
        <v>1</v>
      </c>
      <c r="AC34" s="1814">
        <f t="shared" si="5"/>
        <v>1</v>
      </c>
    </row>
    <row r="35" spans="1:29" ht="15">
      <c r="A35" s="472"/>
      <c r="B35" s="422" t="s">
        <v>2653</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28"/>
      <c r="Q35" s="1813" t="str">
        <f t="shared" si="11"/>
        <v>公共部分装修</v>
      </c>
      <c r="R35" s="774" t="s">
        <v>17</v>
      </c>
      <c r="S35" s="775">
        <f t="shared" si="12"/>
        <v>100</v>
      </c>
      <c r="T35" s="774" t="s">
        <v>17</v>
      </c>
      <c r="U35" s="775">
        <f t="shared" si="13"/>
        <v>100</v>
      </c>
      <c r="V35" s="774" t="s">
        <v>17</v>
      </c>
      <c r="W35" s="775">
        <f t="shared" si="14"/>
        <v>100</v>
      </c>
      <c r="X35" s="1816"/>
      <c r="Y35" s="3230"/>
      <c r="Z35" s="1817" t="str">
        <f t="shared" si="15"/>
        <v>公共部分装修</v>
      </c>
      <c r="AA35" s="1814">
        <f t="shared" si="3"/>
        <v>1</v>
      </c>
      <c r="AB35" s="1814">
        <f t="shared" si="4"/>
        <v>1</v>
      </c>
      <c r="AC35" s="1814">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8"/>
      <c r="Q36" s="1813" t="str">
        <f t="shared" si="11"/>
        <v>成新度</v>
      </c>
      <c r="R36" s="774" t="s">
        <v>17</v>
      </c>
      <c r="S36" s="775" t="e">
        <f t="shared" si="12"/>
        <v>#N/A</v>
      </c>
      <c r="T36" s="774" t="s">
        <v>17</v>
      </c>
      <c r="U36" s="775" t="e">
        <f t="shared" si="13"/>
        <v>#N/A</v>
      </c>
      <c r="V36" s="774" t="s">
        <v>17</v>
      </c>
      <c r="W36" s="775" t="e">
        <f t="shared" si="14"/>
        <v>#N/A</v>
      </c>
      <c r="X36" s="1816"/>
      <c r="Y36" s="3230"/>
      <c r="Z36" s="1817" t="str">
        <f t="shared" si="15"/>
        <v>成新度</v>
      </c>
      <c r="AA36" s="1814" t="e">
        <f t="shared" si="3"/>
        <v>#N/A</v>
      </c>
      <c r="AB36" s="1814" t="e">
        <f t="shared" si="4"/>
        <v>#N/A</v>
      </c>
      <c r="AC36" s="1814" t="e">
        <f t="shared" si="5"/>
        <v>#N/A</v>
      </c>
    </row>
    <row r="37" spans="1:29" s="117" customFormat="1" ht="15">
      <c r="A37" s="473"/>
      <c r="B37" s="422" t="s">
        <v>2655</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28"/>
      <c r="Q37" s="1798" t="str">
        <f t="shared" si="11"/>
        <v>市政基础设施</v>
      </c>
      <c r="R37" s="770" t="s">
        <v>17</v>
      </c>
      <c r="S37" s="771">
        <f t="shared" si="12"/>
        <v>100</v>
      </c>
      <c r="T37" s="770" t="s">
        <v>17</v>
      </c>
      <c r="U37" s="771">
        <f t="shared" si="13"/>
        <v>100</v>
      </c>
      <c r="V37" s="770" t="s">
        <v>17</v>
      </c>
      <c r="W37" s="771">
        <f t="shared" si="14"/>
        <v>100</v>
      </c>
      <c r="X37" s="772"/>
      <c r="Y37" s="3230"/>
      <c r="Z37" s="55" t="str">
        <f t="shared" si="15"/>
        <v>市政基础设施</v>
      </c>
      <c r="AA37" s="773">
        <f t="shared" si="3"/>
        <v>1</v>
      </c>
      <c r="AB37" s="773">
        <f t="shared" si="4"/>
        <v>1</v>
      </c>
      <c r="AC37" s="773">
        <f t="shared" si="5"/>
        <v>1</v>
      </c>
    </row>
    <row r="38" spans="1:29" ht="15">
      <c r="A38" s="472"/>
      <c r="B38" s="422" t="s">
        <v>2656</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28" t="s">
        <v>2557</v>
      </c>
      <c r="Q38" s="1813" t="str">
        <f t="shared" si="11"/>
        <v>业态</v>
      </c>
      <c r="R38" s="774" t="s">
        <v>17</v>
      </c>
      <c r="S38" s="775">
        <f t="shared" si="12"/>
        <v>100</v>
      </c>
      <c r="T38" s="774" t="s">
        <v>17</v>
      </c>
      <c r="U38" s="775">
        <f t="shared" si="13"/>
        <v>100</v>
      </c>
      <c r="V38" s="774" t="s">
        <v>17</v>
      </c>
      <c r="W38" s="775">
        <f t="shared" si="14"/>
        <v>100</v>
      </c>
      <c r="X38" s="1816"/>
      <c r="Y38" s="3230" t="s">
        <v>2557</v>
      </c>
      <c r="Z38" s="1817" t="str">
        <f t="shared" si="15"/>
        <v>业态</v>
      </c>
      <c r="AA38" s="1814">
        <f t="shared" si="3"/>
        <v>1</v>
      </c>
      <c r="AB38" s="1814">
        <f t="shared" si="4"/>
        <v>1</v>
      </c>
      <c r="AC38" s="1814">
        <f t="shared" si="5"/>
        <v>1</v>
      </c>
    </row>
    <row r="39" spans="1:29" ht="15">
      <c r="A39" s="472"/>
      <c r="B39" s="422" t="s">
        <v>2657</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28"/>
      <c r="Q39" s="1813" t="str">
        <f t="shared" si="11"/>
        <v>层高</v>
      </c>
      <c r="R39" s="774" t="s">
        <v>17</v>
      </c>
      <c r="S39" s="775">
        <f t="shared" si="12"/>
        <v>100</v>
      </c>
      <c r="T39" s="774" t="s">
        <v>17</v>
      </c>
      <c r="U39" s="775">
        <f t="shared" si="13"/>
        <v>100</v>
      </c>
      <c r="V39" s="774" t="s">
        <v>17</v>
      </c>
      <c r="W39" s="775">
        <f t="shared" si="14"/>
        <v>100</v>
      </c>
      <c r="X39" s="1816"/>
      <c r="Y39" s="3230"/>
      <c r="Z39" s="1817" t="str">
        <f t="shared" si="15"/>
        <v>层高</v>
      </c>
      <c r="AA39" s="1814">
        <f t="shared" si="3"/>
        <v>1</v>
      </c>
      <c r="AB39" s="1814">
        <f t="shared" si="4"/>
        <v>1</v>
      </c>
      <c r="AC39" s="1814">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8"/>
      <c r="Q40" s="1813" t="str">
        <f t="shared" si="11"/>
        <v>单套建筑面积</v>
      </c>
      <c r="R40" s="774" t="s">
        <v>17</v>
      </c>
      <c r="S40" s="775">
        <f t="shared" si="12"/>
        <v>100</v>
      </c>
      <c r="T40" s="774" t="s">
        <v>17</v>
      </c>
      <c r="U40" s="775">
        <f t="shared" si="13"/>
        <v>100</v>
      </c>
      <c r="V40" s="774" t="s">
        <v>17</v>
      </c>
      <c r="W40" s="775">
        <f t="shared" si="14"/>
        <v>100</v>
      </c>
      <c r="X40" s="1816"/>
      <c r="Y40" s="3230"/>
      <c r="Z40" s="1817" t="str">
        <f t="shared" si="15"/>
        <v>单套建筑面积</v>
      </c>
      <c r="AA40" s="1814">
        <f t="shared" si="3"/>
        <v>1</v>
      </c>
      <c r="AB40" s="1814">
        <f t="shared" si="4"/>
        <v>1</v>
      </c>
      <c r="AC40" s="1814">
        <f t="shared" si="5"/>
        <v>1</v>
      </c>
    </row>
    <row r="41" spans="1:29" s="471" customFormat="1" ht="15">
      <c r="A41" s="468"/>
      <c r="B41" s="1815"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8"/>
      <c r="Q41" s="776" t="str">
        <f t="shared" si="11"/>
        <v>进深比</v>
      </c>
      <c r="R41" s="777" t="s">
        <v>17</v>
      </c>
      <c r="S41" s="778">
        <f t="shared" si="12"/>
        <v>100</v>
      </c>
      <c r="T41" s="777" t="s">
        <v>17</v>
      </c>
      <c r="U41" s="778">
        <f t="shared" si="13"/>
        <v>100</v>
      </c>
      <c r="V41" s="777" t="s">
        <v>17</v>
      </c>
      <c r="W41" s="778">
        <f t="shared" si="14"/>
        <v>100</v>
      </c>
      <c r="X41" s="779"/>
      <c r="Y41" s="3230"/>
      <c r="Z41" s="780" t="str">
        <f t="shared" si="15"/>
        <v>进深比</v>
      </c>
      <c r="AA41" s="1814">
        <f t="shared" si="3"/>
        <v>1</v>
      </c>
      <c r="AB41" s="1814">
        <f t="shared" si="4"/>
        <v>1</v>
      </c>
      <c r="AC41" s="1814">
        <f t="shared" si="5"/>
        <v>1</v>
      </c>
    </row>
    <row r="42" spans="1:29" ht="15">
      <c r="A42" s="472"/>
      <c r="B42" s="422" t="s">
        <v>2660</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28"/>
      <c r="Q42" s="1813" t="str">
        <f t="shared" si="11"/>
        <v>内部装修</v>
      </c>
      <c r="R42" s="774" t="s">
        <v>17</v>
      </c>
      <c r="S42" s="775">
        <f t="shared" si="12"/>
        <v>100</v>
      </c>
      <c r="T42" s="774" t="s">
        <v>17</v>
      </c>
      <c r="U42" s="775">
        <f t="shared" si="13"/>
        <v>100</v>
      </c>
      <c r="V42" s="774" t="s">
        <v>17</v>
      </c>
      <c r="W42" s="775">
        <f t="shared" si="14"/>
        <v>100</v>
      </c>
      <c r="X42" s="1816"/>
      <c r="Y42" s="3230"/>
      <c r="Z42" s="1817" t="str">
        <f t="shared" si="15"/>
        <v>内部装修</v>
      </c>
      <c r="AA42" s="1814">
        <f t="shared" si="3"/>
        <v>1</v>
      </c>
      <c r="AB42" s="1814">
        <f t="shared" si="4"/>
        <v>1</v>
      </c>
      <c r="AC42" s="1814">
        <f t="shared" si="5"/>
        <v>1</v>
      </c>
    </row>
    <row r="43" spans="1:29" ht="15">
      <c r="A43" s="472"/>
      <c r="B43" s="422" t="s">
        <v>2568</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28"/>
      <c r="Q43" s="1813" t="str">
        <f t="shared" si="11"/>
        <v>内部装修维护情况</v>
      </c>
      <c r="R43" s="774" t="s">
        <v>17</v>
      </c>
      <c r="S43" s="775">
        <f t="shared" si="12"/>
        <v>100</v>
      </c>
      <c r="T43" s="774" t="s">
        <v>17</v>
      </c>
      <c r="U43" s="775">
        <f t="shared" si="13"/>
        <v>100</v>
      </c>
      <c r="V43" s="774" t="s">
        <v>17</v>
      </c>
      <c r="W43" s="775">
        <f t="shared" si="14"/>
        <v>100</v>
      </c>
      <c r="X43" s="1816"/>
      <c r="Y43" s="323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8"/>
      <c r="Q44" s="1798">
        <f t="shared" si="11"/>
        <v>111</v>
      </c>
      <c r="R44" s="770" t="s">
        <v>17</v>
      </c>
      <c r="S44" s="771">
        <f t="shared" si="12"/>
        <v>100</v>
      </c>
      <c r="T44" s="770" t="s">
        <v>17</v>
      </c>
      <c r="U44" s="771">
        <f t="shared" si="13"/>
        <v>100</v>
      </c>
      <c r="V44" s="770" t="s">
        <v>17</v>
      </c>
      <c r="W44" s="771">
        <f t="shared" si="14"/>
        <v>100</v>
      </c>
      <c r="X44" s="772"/>
      <c r="Y44" s="323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8"/>
      <c r="Q45" s="1813">
        <f t="shared" si="11"/>
        <v>111</v>
      </c>
      <c r="R45" s="774" t="s">
        <v>17</v>
      </c>
      <c r="S45" s="775">
        <f t="shared" si="12"/>
        <v>100</v>
      </c>
      <c r="T45" s="774" t="s">
        <v>17</v>
      </c>
      <c r="U45" s="775">
        <f t="shared" si="13"/>
        <v>100</v>
      </c>
      <c r="V45" s="774" t="s">
        <v>17</v>
      </c>
      <c r="W45" s="775">
        <f t="shared" si="14"/>
        <v>100</v>
      </c>
      <c r="X45" s="1816"/>
      <c r="Y45" s="3230"/>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9"/>
      <c r="Q46" s="1813">
        <f t="shared" si="11"/>
        <v>111</v>
      </c>
      <c r="R46" s="774" t="s">
        <v>17</v>
      </c>
      <c r="S46" s="775">
        <f t="shared" si="12"/>
        <v>100</v>
      </c>
      <c r="T46" s="774" t="s">
        <v>17</v>
      </c>
      <c r="U46" s="775">
        <f t="shared" si="13"/>
        <v>100</v>
      </c>
      <c r="V46" s="774" t="s">
        <v>17</v>
      </c>
      <c r="W46" s="775">
        <f t="shared" si="14"/>
        <v>100</v>
      </c>
      <c r="X46" s="1816"/>
      <c r="Y46" s="3231"/>
      <c r="Z46" s="1817">
        <f t="shared" si="15"/>
        <v>111</v>
      </c>
      <c r="AA46" s="1814">
        <f t="shared" si="3"/>
        <v>1</v>
      </c>
      <c r="AB46" s="1814">
        <f t="shared" si="4"/>
        <v>1</v>
      </c>
      <c r="AC46" s="1814">
        <f t="shared" si="5"/>
        <v>1</v>
      </c>
    </row>
    <row r="47" spans="1:29" ht="15">
      <c r="A47" s="479" t="s">
        <v>2569</v>
      </c>
      <c r="B47" s="480"/>
      <c r="C47" s="1410" t="s">
        <v>1</v>
      </c>
      <c r="D47" s="1411"/>
      <c r="E47" s="1412"/>
      <c r="F47" s="1413"/>
      <c r="G47" s="1414"/>
      <c r="H47" s="1415"/>
      <c r="I47" s="1412"/>
      <c r="J47" s="1415"/>
      <c r="K47" s="783"/>
      <c r="L47" s="1146"/>
      <c r="M47" s="1147"/>
      <c r="N47" s="1134"/>
      <c r="O47" s="1147"/>
      <c r="P47" s="3223" t="str">
        <f>A47</f>
        <v>成交单价（元/平方米）</v>
      </c>
      <c r="Q47" s="3223"/>
      <c r="R47" s="3217">
        <f>E47</f>
        <v>0</v>
      </c>
      <c r="S47" s="3217"/>
      <c r="T47" s="3217">
        <f>G47</f>
        <v>0</v>
      </c>
      <c r="U47" s="3217"/>
      <c r="V47" s="3217">
        <f>I47</f>
        <v>0</v>
      </c>
      <c r="W47" s="3217"/>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2540</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2577</v>
      </c>
      <c r="B60" s="516"/>
      <c r="C60" s="517"/>
      <c r="D60" s="518"/>
      <c r="E60" s="518"/>
      <c r="F60" s="518"/>
      <c r="G60" s="518"/>
      <c r="H60" s="518"/>
      <c r="I60" s="518"/>
      <c r="J60" s="518"/>
      <c r="K60" s="518"/>
      <c r="L60" s="518"/>
      <c r="M60" s="519"/>
      <c r="N60" s="518"/>
      <c r="O60" s="519"/>
      <c r="P60" s="2628"/>
      <c r="Q60" s="504"/>
    </row>
    <row r="61" spans="1:29" s="117" customFormat="1" ht="15">
      <c r="A61" s="521" t="s">
        <v>2542</v>
      </c>
      <c r="B61" s="510"/>
      <c r="C61" s="522" t="s">
        <v>2644</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2580</v>
      </c>
      <c r="B63" s="528" t="s">
        <v>2546</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2672</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2555</v>
      </c>
      <c r="B100" s="528" t="s">
        <v>2673</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2606</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2608</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2674</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2675</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2676</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2612</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69" t="s">
        <v>2678</v>
      </c>
      <c r="C1" s="1623" t="s">
        <v>2522</v>
      </c>
      <c r="D1" s="1624"/>
      <c r="E1" s="1633"/>
      <c r="F1" s="2586"/>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IF(C2="——",ROUND(C50*D3/10000,0),ROUND(C50*D3/10000,0)-D2)</f>
        <v>#DIV/0!</v>
      </c>
      <c r="C2" s="2588"/>
      <c r="D2" s="1368" t="e">
        <f ca="1">SUMIF(INDIRECT("'"&amp;F2&amp;"'"&amp;"!A:A"),"承租人权益价值",INDIRECT("'"&amp;F2&amp;"'"&amp;"!c:c"))</f>
        <v>#REF!</v>
      </c>
      <c r="E2" s="2589" t="s">
        <v>2320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44831.789999999994</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69" t="s">
        <v>2643</v>
      </c>
      <c r="Q4" s="3270"/>
      <c r="R4" s="3264" t="s">
        <v>2639</v>
      </c>
      <c r="S4" s="3265"/>
      <c r="T4" s="3264" t="s">
        <v>2640</v>
      </c>
      <c r="U4" s="3265"/>
      <c r="V4" s="3273" t="s">
        <v>2641</v>
      </c>
      <c r="W4" s="3273"/>
      <c r="X4" s="2670"/>
      <c r="Y4" s="3264" t="s">
        <v>2643</v>
      </c>
      <c r="Z4" s="3265"/>
      <c r="AA4" s="3263" t="s">
        <v>2639</v>
      </c>
      <c r="AB4" s="3263" t="s">
        <v>2640</v>
      </c>
      <c r="AC4" s="3266" t="s">
        <v>2641</v>
      </c>
    </row>
    <row r="5" spans="1:29" ht="15">
      <c r="A5" s="404"/>
      <c r="B5" s="405"/>
      <c r="C5" s="3262" t="s">
        <v>2534</v>
      </c>
      <c r="D5" s="3199"/>
      <c r="E5" s="3261" t="s">
        <v>2535</v>
      </c>
      <c r="F5" s="3197"/>
      <c r="G5" s="3262" t="s">
        <v>2536</v>
      </c>
      <c r="H5" s="3199"/>
      <c r="I5" s="3262" t="s">
        <v>2537</v>
      </c>
      <c r="J5" s="3199"/>
      <c r="K5" s="610"/>
      <c r="L5" s="1133"/>
      <c r="M5" s="1134"/>
      <c r="N5" s="1134"/>
      <c r="O5" s="1134"/>
      <c r="P5" s="3271"/>
      <c r="Q5" s="3212"/>
      <c r="R5" s="3194"/>
      <c r="S5" s="3195"/>
      <c r="T5" s="3194"/>
      <c r="U5" s="3195"/>
      <c r="V5" s="3217"/>
      <c r="W5" s="3217"/>
      <c r="X5" s="1816"/>
      <c r="Y5" s="3194"/>
      <c r="Z5" s="3195"/>
      <c r="AA5" s="3188"/>
      <c r="AB5" s="3188"/>
      <c r="AC5" s="3267"/>
    </row>
    <row r="6" spans="1:29" ht="15.75" thickBot="1">
      <c r="A6" s="406"/>
      <c r="B6" s="407"/>
      <c r="C6" s="3218" t="s">
        <v>2538</v>
      </c>
      <c r="D6" s="3201"/>
      <c r="E6" s="3202" t="s">
        <v>2538</v>
      </c>
      <c r="F6" s="3203"/>
      <c r="G6" s="3218" t="s">
        <v>2538</v>
      </c>
      <c r="H6" s="3201"/>
      <c r="I6" s="3218" t="s">
        <v>2538</v>
      </c>
      <c r="J6" s="3201"/>
      <c r="K6" s="610" t="s">
        <v>2539</v>
      </c>
      <c r="L6" s="1133"/>
      <c r="M6" s="1134"/>
      <c r="N6" s="1134"/>
      <c r="O6" s="1134"/>
      <c r="P6" s="3272"/>
      <c r="Q6" s="3214"/>
      <c r="R6" s="3194"/>
      <c r="S6" s="3195"/>
      <c r="T6" s="3215"/>
      <c r="U6" s="3216"/>
      <c r="V6" s="3217"/>
      <c r="W6" s="3217"/>
      <c r="X6" s="1816"/>
      <c r="Y6" s="3215"/>
      <c r="Z6" s="3216"/>
      <c r="AA6" s="3189"/>
      <c r="AB6" s="3189"/>
      <c r="AC6" s="3268"/>
    </row>
    <row r="7" spans="1:29" s="117" customFormat="1" ht="15.75" thickBot="1">
      <c r="A7" s="408" t="s">
        <v>2540</v>
      </c>
      <c r="B7" s="409"/>
      <c r="C7" s="410">
        <f>'数据-取费表'!B2</f>
        <v>43430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4" t="s">
        <v>2541</v>
      </c>
      <c r="Q7" s="3219"/>
      <c r="R7" s="770" t="s">
        <v>17</v>
      </c>
      <c r="S7" s="771">
        <f t="shared" ref="S7:S15" si="0">F7</f>
        <v>0</v>
      </c>
      <c r="T7" s="770" t="s">
        <v>17</v>
      </c>
      <c r="U7" s="771">
        <f t="shared" ref="U7:U15" si="1">H7</f>
        <v>0</v>
      </c>
      <c r="V7" s="770" t="s">
        <v>17</v>
      </c>
      <c r="W7" s="771">
        <f t="shared" ref="W7:W15" si="2">J7</f>
        <v>0</v>
      </c>
      <c r="X7" s="772"/>
      <c r="Y7" s="3190" t="s">
        <v>2541</v>
      </c>
      <c r="Z7" s="3191"/>
      <c r="AA7" s="773" t="e">
        <f>D7/F7</f>
        <v>#DIV/0!</v>
      </c>
      <c r="AB7" s="773" t="e">
        <f>D7/H7</f>
        <v>#DIV/0!</v>
      </c>
      <c r="AC7" s="2671"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4" t="s">
        <v>2544</v>
      </c>
      <c r="Q8" s="3191"/>
      <c r="R8" s="770" t="s">
        <v>17</v>
      </c>
      <c r="S8" s="771">
        <f t="shared" si="0"/>
        <v>0</v>
      </c>
      <c r="T8" s="770" t="s">
        <v>17</v>
      </c>
      <c r="U8" s="771">
        <f t="shared" si="1"/>
        <v>0</v>
      </c>
      <c r="V8" s="770" t="s">
        <v>17</v>
      </c>
      <c r="W8" s="771">
        <f t="shared" si="2"/>
        <v>0</v>
      </c>
      <c r="X8" s="772"/>
      <c r="Y8" s="3190" t="s">
        <v>2544</v>
      </c>
      <c r="Z8" s="3191"/>
      <c r="AA8" s="773" t="e">
        <f t="shared" ref="AA8:AA47" si="3">D8/F8</f>
        <v>#DIV/0!</v>
      </c>
      <c r="AB8" s="773" t="e">
        <f t="shared" ref="AB8:AB47" si="4">D8/H8</f>
        <v>#DIV/0!</v>
      </c>
      <c r="AC8" s="2671"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4" t="s">
        <v>2547</v>
      </c>
      <c r="Q9" s="1798" t="str">
        <f t="shared" ref="Q9:Q15" si="6">B9</f>
        <v>用途</v>
      </c>
      <c r="R9" s="770" t="s">
        <v>17</v>
      </c>
      <c r="S9" s="771">
        <f t="shared" si="0"/>
        <v>100</v>
      </c>
      <c r="T9" s="770" t="s">
        <v>17</v>
      </c>
      <c r="U9" s="771">
        <f t="shared" si="1"/>
        <v>100</v>
      </c>
      <c r="V9" s="770" t="s">
        <v>17</v>
      </c>
      <c r="W9" s="771">
        <f t="shared" si="2"/>
        <v>100</v>
      </c>
      <c r="X9" s="772"/>
      <c r="Y9" s="3044" t="s">
        <v>2548</v>
      </c>
      <c r="Z9" s="55" t="str">
        <f t="shared" ref="Z9:Z15" si="7">Q9</f>
        <v>用途</v>
      </c>
      <c r="AA9" s="773">
        <f t="shared" si="3"/>
        <v>1</v>
      </c>
      <c r="AB9" s="773">
        <f t="shared" si="4"/>
        <v>1</v>
      </c>
      <c r="AC9" s="2671">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71">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4"/>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2671" t="e">
        <f t="shared" si="5"/>
        <v>#N/A</v>
      </c>
    </row>
    <row r="12" spans="1:29" s="117" customFormat="1" ht="15">
      <c r="A12" s="431"/>
      <c r="B12" s="2601">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204"/>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71">
        <f>D12/J12</f>
        <v>1</v>
      </c>
    </row>
    <row r="13" spans="1:29" ht="15">
      <c r="A13" s="428"/>
      <c r="B13" s="2601">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204"/>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71">
        <f t="shared" si="5"/>
        <v>1</v>
      </c>
    </row>
    <row r="14" spans="1:29" ht="15.75" thickBot="1">
      <c r="A14" s="436"/>
      <c r="B14" s="2603">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04"/>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71">
        <f t="shared" si="5"/>
        <v>1</v>
      </c>
    </row>
    <row r="15" spans="1:29" ht="15">
      <c r="A15" s="440" t="s">
        <v>2551</v>
      </c>
      <c r="B15" s="629" t="s">
        <v>2679</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2" t="s">
        <v>2552</v>
      </c>
      <c r="Q15" s="1813" t="str">
        <f t="shared" si="6"/>
        <v>办公集聚程度</v>
      </c>
      <c r="R15" s="774" t="s">
        <v>17</v>
      </c>
      <c r="S15" s="775">
        <f t="shared" si="0"/>
        <v>100</v>
      </c>
      <c r="T15" s="774" t="s">
        <v>17</v>
      </c>
      <c r="U15" s="775">
        <f t="shared" si="1"/>
        <v>100</v>
      </c>
      <c r="V15" s="774" t="s">
        <v>17</v>
      </c>
      <c r="W15" s="775">
        <f t="shared" si="2"/>
        <v>100</v>
      </c>
      <c r="X15" s="1816"/>
      <c r="Y15" s="3225" t="s">
        <v>2552</v>
      </c>
      <c r="Z15" s="1817" t="str">
        <f t="shared" si="7"/>
        <v>办公集聚程度</v>
      </c>
      <c r="AA15" s="1814">
        <f t="shared" si="3"/>
        <v>1</v>
      </c>
      <c r="AB15" s="1814">
        <f t="shared" si="4"/>
        <v>1</v>
      </c>
      <c r="AC15" s="2674">
        <f t="shared" si="5"/>
        <v>1</v>
      </c>
    </row>
    <row r="16" spans="1:29" ht="15">
      <c r="A16" s="428"/>
      <c r="B16" s="630"/>
      <c r="C16" s="2612"/>
      <c r="D16" s="448"/>
      <c r="E16" s="447"/>
      <c r="F16" s="448"/>
      <c r="G16" s="2612"/>
      <c r="H16" s="450"/>
      <c r="I16" s="447"/>
      <c r="J16" s="448"/>
      <c r="K16" s="615"/>
      <c r="L16" s="1143"/>
      <c r="M16" s="1134"/>
      <c r="N16" s="1134"/>
      <c r="O16" s="1134"/>
      <c r="P16" s="3233"/>
      <c r="Q16" s="1813"/>
      <c r="R16" s="774"/>
      <c r="S16" s="775"/>
      <c r="T16" s="774"/>
      <c r="U16" s="775"/>
      <c r="V16" s="774"/>
      <c r="W16" s="775"/>
      <c r="X16" s="1816"/>
      <c r="Y16" s="3226"/>
      <c r="Z16" s="1817"/>
      <c r="AA16" s="1814">
        <v>1</v>
      </c>
      <c r="AB16" s="1814">
        <v>1</v>
      </c>
      <c r="AC16" s="2674">
        <v>1</v>
      </c>
    </row>
    <row r="17" spans="1:29" ht="242.25">
      <c r="A17" s="428"/>
      <c r="B17" s="631" t="s">
        <v>2094</v>
      </c>
      <c r="C17" s="2675" t="str">
        <f>估价对象房地状况!C6</f>
        <v>估价对象位于海淀区万柳地区，北距北四环西路约600米，周边路网较为密集，行车出入便捷。且项目及周边道路均设有停车场位，停车便捷。周边1公里范围内有481路、664路等公交线路，且地铁10号线巴沟站位于地块东北角，公交便捷度好。综上分析，估价对象所在区位整体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3"/>
      <c r="Q17" s="1813" t="str">
        <f>B17</f>
        <v>交通便捷度</v>
      </c>
      <c r="R17" s="774" t="s">
        <v>17</v>
      </c>
      <c r="S17" s="775">
        <f>F17</f>
        <v>100</v>
      </c>
      <c r="T17" s="774" t="s">
        <v>17</v>
      </c>
      <c r="U17" s="775">
        <f>H17</f>
        <v>100</v>
      </c>
      <c r="V17" s="774" t="s">
        <v>17</v>
      </c>
      <c r="W17" s="775">
        <f>J17</f>
        <v>100</v>
      </c>
      <c r="X17" s="1816"/>
      <c r="Y17" s="3226"/>
      <c r="Z17" s="1817" t="str">
        <f>Q17</f>
        <v>交通便捷度</v>
      </c>
      <c r="AA17" s="1814">
        <f t="shared" si="3"/>
        <v>1</v>
      </c>
      <c r="AB17" s="1814">
        <f t="shared" si="4"/>
        <v>1</v>
      </c>
      <c r="AC17" s="2674">
        <f t="shared" si="5"/>
        <v>1</v>
      </c>
    </row>
    <row r="18" spans="1:29" ht="15">
      <c r="A18" s="428"/>
      <c r="B18" s="632"/>
      <c r="C18" s="2676"/>
      <c r="D18" s="450"/>
      <c r="E18" s="2610"/>
      <c r="F18" s="450"/>
      <c r="G18" s="2611"/>
      <c r="H18" s="448"/>
      <c r="I18" s="2611"/>
      <c r="J18" s="448"/>
      <c r="K18" s="615"/>
      <c r="L18" s="1143"/>
      <c r="M18" s="1134"/>
      <c r="N18" s="1134"/>
      <c r="O18" s="1134"/>
      <c r="P18" s="3233"/>
      <c r="Q18" s="1813"/>
      <c r="R18" s="774"/>
      <c r="S18" s="775"/>
      <c r="T18" s="774"/>
      <c r="U18" s="775"/>
      <c r="V18" s="774"/>
      <c r="W18" s="775"/>
      <c r="X18" s="1816"/>
      <c r="Y18" s="3226"/>
      <c r="Z18" s="1817"/>
      <c r="AA18" s="1814">
        <v>1</v>
      </c>
      <c r="AB18" s="1814">
        <v>1</v>
      </c>
      <c r="AC18" s="2674">
        <v>1</v>
      </c>
    </row>
    <row r="19" spans="1:29" ht="185.25">
      <c r="A19" s="428"/>
      <c r="B19" s="631" t="s">
        <v>2680</v>
      </c>
      <c r="C19" s="2675" t="str">
        <f>估价对象房地状况!C7</f>
        <v>周边1.5公里内的公共服务配套设施较为齐备，有购物场所（北京华联万柳购物中心）、医院（北京市海淀区妇幼保健院）、银行（中国光大银行、浦发银行）、学校（北京市八一学校、万泉小学）、餐饮等公共服务配套设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3"/>
      <c r="Q19" s="1813" t="str">
        <f>B19</f>
        <v>公共配套设施</v>
      </c>
      <c r="R19" s="774" t="s">
        <v>17</v>
      </c>
      <c r="S19" s="775">
        <f>F19</f>
        <v>100</v>
      </c>
      <c r="T19" s="774" t="s">
        <v>17</v>
      </c>
      <c r="U19" s="775">
        <f>H19</f>
        <v>100</v>
      </c>
      <c r="V19" s="774" t="s">
        <v>17</v>
      </c>
      <c r="W19" s="775">
        <f>J19</f>
        <v>100</v>
      </c>
      <c r="X19" s="1816"/>
      <c r="Y19" s="3226"/>
      <c r="Z19" s="1817" t="str">
        <f>Q19</f>
        <v>公共配套设施</v>
      </c>
      <c r="AA19" s="1814">
        <f t="shared" si="3"/>
        <v>1</v>
      </c>
      <c r="AB19" s="1814">
        <f t="shared" si="4"/>
        <v>1</v>
      </c>
      <c r="AC19" s="2674">
        <f t="shared" si="5"/>
        <v>1</v>
      </c>
    </row>
    <row r="20" spans="1:29" ht="15">
      <c r="A20" s="428"/>
      <c r="B20" s="632"/>
      <c r="C20" s="2612"/>
      <c r="D20" s="448"/>
      <c r="E20" s="2605"/>
      <c r="F20" s="448"/>
      <c r="G20" s="2606"/>
      <c r="H20" s="448"/>
      <c r="I20" s="2606"/>
      <c r="J20" s="448"/>
      <c r="K20" s="615"/>
      <c r="L20" s="1143"/>
      <c r="M20" s="1134"/>
      <c r="N20" s="1134"/>
      <c r="O20" s="1134"/>
      <c r="P20" s="3233"/>
      <c r="Q20" s="1813"/>
      <c r="R20" s="774"/>
      <c r="S20" s="775"/>
      <c r="T20" s="774"/>
      <c r="U20" s="775"/>
      <c r="V20" s="774"/>
      <c r="W20" s="775"/>
      <c r="X20" s="1816"/>
      <c r="Y20" s="3226"/>
      <c r="Z20" s="1817"/>
      <c r="AA20" s="1814">
        <v>1</v>
      </c>
      <c r="AB20" s="1814">
        <v>1</v>
      </c>
      <c r="AC20" s="2674">
        <v>1</v>
      </c>
    </row>
    <row r="21" spans="1:29" ht="42.75">
      <c r="A21" s="428"/>
      <c r="B21" s="633" t="s">
        <v>2681</v>
      </c>
      <c r="C21" s="2675"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3"/>
      <c r="Q21" s="1813" t="str">
        <f>B21</f>
        <v>基础设施水平</v>
      </c>
      <c r="R21" s="774" t="s">
        <v>17</v>
      </c>
      <c r="S21" s="775">
        <f>F21</f>
        <v>100</v>
      </c>
      <c r="T21" s="774" t="s">
        <v>17</v>
      </c>
      <c r="U21" s="775">
        <f>H21</f>
        <v>100</v>
      </c>
      <c r="V21" s="774" t="s">
        <v>17</v>
      </c>
      <c r="W21" s="775">
        <f>J21</f>
        <v>100</v>
      </c>
      <c r="X21" s="1816"/>
      <c r="Y21" s="3226"/>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2"/>
      <c r="H22" s="448"/>
      <c r="I22" s="2612"/>
      <c r="J22" s="448"/>
      <c r="K22" s="1386"/>
      <c r="L22" s="1143"/>
      <c r="M22" s="1134"/>
      <c r="N22" s="1134"/>
      <c r="O22" s="1134"/>
      <c r="P22" s="3233"/>
      <c r="Q22" s="1813"/>
      <c r="R22" s="774"/>
      <c r="S22" s="775"/>
      <c r="T22" s="774"/>
      <c r="U22" s="775"/>
      <c r="V22" s="774"/>
      <c r="W22" s="775"/>
      <c r="X22" s="1816"/>
      <c r="Y22" s="3226"/>
      <c r="Z22" s="1817"/>
      <c r="AA22" s="1814">
        <v>1</v>
      </c>
      <c r="AB22" s="1814">
        <v>1</v>
      </c>
      <c r="AC22" s="2674">
        <v>1</v>
      </c>
    </row>
    <row r="23" spans="1:29" ht="142.5">
      <c r="A23" s="428"/>
      <c r="B23" s="631" t="s">
        <v>2682</v>
      </c>
      <c r="C23" s="2675" t="str">
        <f>估价对象房地状况!C9</f>
        <v>估价对象所在区域有2公里范围内有海淀公园、巴沟山水园等自然景观；人文环境：多家幼儿园及北京市八一中学、中国人民大学等，人文环境好；综合评价环境状况较好。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3"/>
      <c r="Q23" s="1813" t="str">
        <f>B23</f>
        <v>环境质量</v>
      </c>
      <c r="R23" s="774" t="s">
        <v>17</v>
      </c>
      <c r="S23" s="775">
        <f>F23</f>
        <v>100</v>
      </c>
      <c r="T23" s="774" t="s">
        <v>17</v>
      </c>
      <c r="U23" s="775">
        <f>H23</f>
        <v>100</v>
      </c>
      <c r="V23" s="774" t="s">
        <v>17</v>
      </c>
      <c r="W23" s="775">
        <f>J23</f>
        <v>100</v>
      </c>
      <c r="X23" s="1816"/>
      <c r="Y23" s="3226"/>
      <c r="Z23" s="1817" t="str">
        <f>Q23</f>
        <v>环境质量</v>
      </c>
      <c r="AA23" s="1814">
        <f t="shared" si="3"/>
        <v>1</v>
      </c>
      <c r="AB23" s="1814">
        <f t="shared" si="4"/>
        <v>1</v>
      </c>
      <c r="AC23" s="2674">
        <f t="shared" si="5"/>
        <v>1</v>
      </c>
    </row>
    <row r="24" spans="1:29" ht="15">
      <c r="A24" s="428"/>
      <c r="B24" s="633"/>
      <c r="C24" s="2612"/>
      <c r="D24" s="448"/>
      <c r="E24" s="2605"/>
      <c r="F24" s="448"/>
      <c r="G24" s="2606"/>
      <c r="H24" s="448"/>
      <c r="I24" s="2606"/>
      <c r="J24" s="448"/>
      <c r="K24" s="615"/>
      <c r="L24" s="1143"/>
      <c r="M24" s="1134"/>
      <c r="N24" s="1134"/>
      <c r="O24" s="1134"/>
      <c r="P24" s="3233"/>
      <c r="Q24" s="1813"/>
      <c r="R24" s="774"/>
      <c r="S24" s="775"/>
      <c r="T24" s="774"/>
      <c r="U24" s="775"/>
      <c r="V24" s="774"/>
      <c r="W24" s="775"/>
      <c r="X24" s="1816"/>
      <c r="Y24" s="3226"/>
      <c r="Z24" s="1817"/>
      <c r="AA24" s="1814">
        <v>1</v>
      </c>
      <c r="AB24" s="1814">
        <v>1</v>
      </c>
      <c r="AC24" s="2674">
        <v>1</v>
      </c>
    </row>
    <row r="25" spans="1:29" ht="27">
      <c r="A25" s="404"/>
      <c r="B25" s="631" t="s">
        <v>2683</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33"/>
      <c r="Q25" s="1813" t="str">
        <f>B25</f>
        <v>毗邻道路的类型与等级</v>
      </c>
      <c r="R25" s="774" t="s">
        <v>17</v>
      </c>
      <c r="S25" s="775">
        <f>F25</f>
        <v>100</v>
      </c>
      <c r="T25" s="774" t="s">
        <v>17</v>
      </c>
      <c r="U25" s="775">
        <f>H25</f>
        <v>100</v>
      </c>
      <c r="V25" s="774" t="s">
        <v>17</v>
      </c>
      <c r="W25" s="775">
        <f>J25</f>
        <v>100</v>
      </c>
      <c r="X25" s="1816"/>
      <c r="Y25" s="3226"/>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33"/>
      <c r="Q26" s="1813"/>
      <c r="R26" s="774"/>
      <c r="S26" s="775"/>
      <c r="T26" s="774"/>
      <c r="U26" s="775"/>
      <c r="V26" s="774"/>
      <c r="W26" s="775"/>
      <c r="X26" s="1816"/>
      <c r="Y26" s="3226"/>
      <c r="Z26" s="1817"/>
      <c r="AA26" s="1814">
        <v>1</v>
      </c>
      <c r="AB26" s="1814">
        <v>1</v>
      </c>
      <c r="AC26" s="2674">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3"/>
      <c r="Q27" s="1813" t="str">
        <f t="shared" ref="Q27:Q47" si="11">B27</f>
        <v>楼层</v>
      </c>
      <c r="R27" s="774" t="s">
        <v>17</v>
      </c>
      <c r="S27" s="775">
        <f>F27</f>
        <v>100</v>
      </c>
      <c r="T27" s="774" t="s">
        <v>17</v>
      </c>
      <c r="U27" s="775">
        <f>H27</f>
        <v>100</v>
      </c>
      <c r="V27" s="774" t="s">
        <v>17</v>
      </c>
      <c r="W27" s="775">
        <f>J27</f>
        <v>100</v>
      </c>
      <c r="X27" s="1816"/>
      <c r="Y27" s="3226"/>
      <c r="Z27" s="1817" t="str">
        <f>Q27</f>
        <v>楼层</v>
      </c>
      <c r="AA27" s="1814">
        <f t="shared" si="3"/>
        <v>1</v>
      </c>
      <c r="AB27" s="1814">
        <f t="shared" si="4"/>
        <v>1</v>
      </c>
      <c r="AC27" s="2674">
        <f t="shared" si="5"/>
        <v>1</v>
      </c>
    </row>
    <row r="28" spans="1:29" s="117" customFormat="1" ht="15">
      <c r="A28" s="431"/>
      <c r="B28" s="631" t="s">
        <v>2684</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33"/>
      <c r="Q28" s="1798" t="str">
        <f t="shared" si="11"/>
        <v>朝向</v>
      </c>
      <c r="R28" s="770" t="s">
        <v>17</v>
      </c>
      <c r="S28" s="771">
        <f>F28</f>
        <v>100</v>
      </c>
      <c r="T28" s="770" t="s">
        <v>17</v>
      </c>
      <c r="U28" s="771">
        <f>H28</f>
        <v>100</v>
      </c>
      <c r="V28" s="770" t="s">
        <v>17</v>
      </c>
      <c r="W28" s="771">
        <f>J28</f>
        <v>100</v>
      </c>
      <c r="X28" s="772"/>
      <c r="Y28" s="3226"/>
      <c r="Z28" s="55" t="str">
        <f>Q28</f>
        <v>朝向</v>
      </c>
      <c r="AA28" s="1814">
        <f>D28/F28</f>
        <v>1</v>
      </c>
      <c r="AB28" s="1814">
        <f>D28/H28</f>
        <v>1</v>
      </c>
      <c r="AC28" s="2674">
        <f>D28/J28</f>
        <v>1</v>
      </c>
    </row>
    <row r="29" spans="1:29" ht="15">
      <c r="A29" s="428"/>
      <c r="B29" s="2678">
        <v>111</v>
      </c>
      <c r="C29" s="2616"/>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33"/>
      <c r="Q29" s="1813">
        <f t="shared" si="11"/>
        <v>111</v>
      </c>
      <c r="R29" s="774" t="s">
        <v>17</v>
      </c>
      <c r="S29" s="775">
        <f t="shared" ref="S29:S47" si="12">F29</f>
        <v>100</v>
      </c>
      <c r="T29" s="774" t="s">
        <v>17</v>
      </c>
      <c r="U29" s="775">
        <f t="shared" ref="U29:U47" si="13">H29</f>
        <v>100</v>
      </c>
      <c r="V29" s="774" t="s">
        <v>17</v>
      </c>
      <c r="W29" s="775">
        <f t="shared" ref="W29:W47" si="14">J29</f>
        <v>100</v>
      </c>
      <c r="X29" s="1816"/>
      <c r="Y29" s="3226"/>
      <c r="Z29" s="1817">
        <f t="shared" ref="Z29:Z47" si="15">Q29</f>
        <v>111</v>
      </c>
      <c r="AA29" s="1814">
        <f t="shared" si="3"/>
        <v>1</v>
      </c>
      <c r="AB29" s="1814">
        <f t="shared" si="4"/>
        <v>1</v>
      </c>
      <c r="AC29" s="2674">
        <f t="shared" si="5"/>
        <v>1</v>
      </c>
    </row>
    <row r="30" spans="1:29" ht="15">
      <c r="A30" s="428"/>
      <c r="B30" s="2678">
        <v>111</v>
      </c>
      <c r="C30" s="2616"/>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33"/>
      <c r="Q30" s="1813">
        <f t="shared" si="11"/>
        <v>111</v>
      </c>
      <c r="R30" s="774" t="s">
        <v>17</v>
      </c>
      <c r="S30" s="775">
        <f t="shared" si="12"/>
        <v>100</v>
      </c>
      <c r="T30" s="774" t="s">
        <v>17</v>
      </c>
      <c r="U30" s="775">
        <f t="shared" si="13"/>
        <v>100</v>
      </c>
      <c r="V30" s="774" t="s">
        <v>17</v>
      </c>
      <c r="W30" s="775">
        <f t="shared" si="14"/>
        <v>100</v>
      </c>
      <c r="X30" s="1816"/>
      <c r="Y30" s="3226"/>
      <c r="Z30" s="1817">
        <f t="shared" si="15"/>
        <v>111</v>
      </c>
      <c r="AA30" s="1814">
        <f t="shared" si="3"/>
        <v>1</v>
      </c>
      <c r="AB30" s="1814">
        <f t="shared" si="4"/>
        <v>1</v>
      </c>
      <c r="AC30" s="2674">
        <f t="shared" si="5"/>
        <v>1</v>
      </c>
    </row>
    <row r="31" spans="1:29" ht="15">
      <c r="A31" s="428"/>
      <c r="B31" s="2678">
        <v>111</v>
      </c>
      <c r="C31" s="2616"/>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33"/>
      <c r="Q31" s="1813">
        <f t="shared" si="11"/>
        <v>111</v>
      </c>
      <c r="R31" s="774" t="s">
        <v>17</v>
      </c>
      <c r="S31" s="775">
        <f t="shared" si="12"/>
        <v>100</v>
      </c>
      <c r="T31" s="774" t="s">
        <v>17</v>
      </c>
      <c r="U31" s="775">
        <f t="shared" si="13"/>
        <v>100</v>
      </c>
      <c r="V31" s="774" t="s">
        <v>17</v>
      </c>
      <c r="W31" s="775">
        <f t="shared" si="14"/>
        <v>100</v>
      </c>
      <c r="X31" s="1816"/>
      <c r="Y31" s="3226"/>
      <c r="Z31" s="1817">
        <f t="shared" si="15"/>
        <v>111</v>
      </c>
      <c r="AA31" s="1814">
        <f t="shared" si="3"/>
        <v>1</v>
      </c>
      <c r="AB31" s="1814">
        <f t="shared" si="4"/>
        <v>1</v>
      </c>
      <c r="AC31" s="2674">
        <f t="shared" si="5"/>
        <v>1</v>
      </c>
    </row>
    <row r="32" spans="1:29" ht="15.75" thickBot="1">
      <c r="A32" s="436"/>
      <c r="B32" s="635">
        <v>111</v>
      </c>
      <c r="C32" s="2617"/>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33"/>
      <c r="Q32" s="1813">
        <f t="shared" si="11"/>
        <v>111</v>
      </c>
      <c r="R32" s="774" t="s">
        <v>17</v>
      </c>
      <c r="S32" s="775">
        <f t="shared" si="12"/>
        <v>100</v>
      </c>
      <c r="T32" s="774" t="s">
        <v>17</v>
      </c>
      <c r="U32" s="775">
        <f t="shared" si="13"/>
        <v>100</v>
      </c>
      <c r="V32" s="774" t="s">
        <v>17</v>
      </c>
      <c r="W32" s="775">
        <f t="shared" si="14"/>
        <v>100</v>
      </c>
      <c r="X32" s="1816"/>
      <c r="Y32" s="3226"/>
      <c r="Z32" s="1817">
        <f t="shared" si="15"/>
        <v>111</v>
      </c>
      <c r="AA32" s="1814">
        <f t="shared" si="3"/>
        <v>1</v>
      </c>
      <c r="AB32" s="1814">
        <f t="shared" si="4"/>
        <v>1</v>
      </c>
      <c r="AC32" s="2674">
        <f t="shared" si="5"/>
        <v>1</v>
      </c>
    </row>
    <row r="33" spans="1:29" ht="15">
      <c r="A33" s="440" t="s">
        <v>2555</v>
      </c>
      <c r="B33" s="71" t="s">
        <v>2685</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27" t="s">
        <v>2557</v>
      </c>
      <c r="Q33" s="1813" t="str">
        <f t="shared" si="11"/>
        <v>建筑类型</v>
      </c>
      <c r="R33" s="774" t="s">
        <v>17</v>
      </c>
      <c r="S33" s="775">
        <f t="shared" si="12"/>
        <v>100</v>
      </c>
      <c r="T33" s="774" t="s">
        <v>17</v>
      </c>
      <c r="U33" s="775">
        <f t="shared" si="13"/>
        <v>100</v>
      </c>
      <c r="V33" s="774" t="s">
        <v>17</v>
      </c>
      <c r="W33" s="775">
        <f t="shared" si="14"/>
        <v>100</v>
      </c>
      <c r="X33" s="1816"/>
      <c r="Y33" s="3230" t="s">
        <v>2557</v>
      </c>
      <c r="Z33" s="1817" t="str">
        <f t="shared" si="15"/>
        <v>建筑类型</v>
      </c>
      <c r="AA33" s="1814">
        <f t="shared" si="3"/>
        <v>1</v>
      </c>
      <c r="AB33" s="1814">
        <f t="shared" si="4"/>
        <v>1</v>
      </c>
      <c r="AC33" s="2674">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8"/>
      <c r="Q34" s="776" t="str">
        <f t="shared" si="11"/>
        <v>项目建筑规模</v>
      </c>
      <c r="R34" s="777" t="s">
        <v>17</v>
      </c>
      <c r="S34" s="778" t="e">
        <f t="shared" si="12"/>
        <v>#N/A</v>
      </c>
      <c r="T34" s="777" t="s">
        <v>17</v>
      </c>
      <c r="U34" s="778" t="e">
        <f t="shared" si="13"/>
        <v>#N/A</v>
      </c>
      <c r="V34" s="777" t="s">
        <v>17</v>
      </c>
      <c r="W34" s="778" t="e">
        <f t="shared" si="14"/>
        <v>#N/A</v>
      </c>
      <c r="X34" s="779"/>
      <c r="Y34" s="3230"/>
      <c r="Z34" s="780" t="str">
        <f t="shared" si="15"/>
        <v>项目建筑规模</v>
      </c>
      <c r="AA34" s="1814" t="e">
        <f t="shared" si="3"/>
        <v>#N/A</v>
      </c>
      <c r="AB34" s="1814" t="e">
        <f t="shared" si="4"/>
        <v>#N/A</v>
      </c>
      <c r="AC34" s="2674"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8"/>
      <c r="Q35" s="1813" t="str">
        <f t="shared" si="11"/>
        <v>建筑结构</v>
      </c>
      <c r="R35" s="774" t="s">
        <v>17</v>
      </c>
      <c r="S35" s="775">
        <f t="shared" si="12"/>
        <v>100</v>
      </c>
      <c r="T35" s="774" t="s">
        <v>17</v>
      </c>
      <c r="U35" s="775">
        <f t="shared" si="13"/>
        <v>100</v>
      </c>
      <c r="V35" s="774" t="s">
        <v>17</v>
      </c>
      <c r="W35" s="775">
        <f t="shared" si="14"/>
        <v>100</v>
      </c>
      <c r="X35" s="1816"/>
      <c r="Y35" s="3230"/>
      <c r="Z35" s="1817" t="str">
        <f t="shared" si="15"/>
        <v>建筑结构</v>
      </c>
      <c r="AA35" s="1814">
        <f t="shared" si="3"/>
        <v>1</v>
      </c>
      <c r="AB35" s="1814">
        <f t="shared" si="4"/>
        <v>1</v>
      </c>
      <c r="AC35" s="2674">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8"/>
      <c r="Q36" s="1813" t="str">
        <f t="shared" si="11"/>
        <v>公共部分装修</v>
      </c>
      <c r="R36" s="774" t="s">
        <v>17</v>
      </c>
      <c r="S36" s="775">
        <f t="shared" si="12"/>
        <v>100</v>
      </c>
      <c r="T36" s="774" t="s">
        <v>17</v>
      </c>
      <c r="U36" s="775">
        <f t="shared" si="13"/>
        <v>100</v>
      </c>
      <c r="V36" s="774" t="s">
        <v>17</v>
      </c>
      <c r="W36" s="775">
        <f t="shared" si="14"/>
        <v>100</v>
      </c>
      <c r="X36" s="1816"/>
      <c r="Y36" s="3230"/>
      <c r="Z36" s="1817" t="str">
        <f t="shared" si="15"/>
        <v>公共部分装修</v>
      </c>
      <c r="AA36" s="1814">
        <f t="shared" si="3"/>
        <v>1</v>
      </c>
      <c r="AB36" s="1814">
        <f t="shared" si="4"/>
        <v>1</v>
      </c>
      <c r="AC36" s="2674">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8"/>
      <c r="Q37" s="1813" t="str">
        <f t="shared" si="11"/>
        <v>成新度</v>
      </c>
      <c r="R37" s="774" t="s">
        <v>17</v>
      </c>
      <c r="S37" s="775" t="e">
        <f t="shared" si="12"/>
        <v>#N/A</v>
      </c>
      <c r="T37" s="774" t="s">
        <v>17</v>
      </c>
      <c r="U37" s="775" t="e">
        <f t="shared" si="13"/>
        <v>#N/A</v>
      </c>
      <c r="V37" s="774" t="s">
        <v>17</v>
      </c>
      <c r="W37" s="775" t="e">
        <f t="shared" si="14"/>
        <v>#N/A</v>
      </c>
      <c r="X37" s="1816"/>
      <c r="Y37" s="3230"/>
      <c r="Z37" s="1817" t="str">
        <f t="shared" si="15"/>
        <v>成新度</v>
      </c>
      <c r="AA37" s="1814" t="e">
        <f t="shared" si="3"/>
        <v>#N/A</v>
      </c>
      <c r="AB37" s="1814" t="e">
        <f t="shared" si="4"/>
        <v>#N/A</v>
      </c>
      <c r="AC37" s="2674"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8"/>
      <c r="Q38" s="1798" t="str">
        <f t="shared" si="11"/>
        <v>写字楼等级</v>
      </c>
      <c r="R38" s="770" t="s">
        <v>17</v>
      </c>
      <c r="S38" s="771">
        <f t="shared" si="12"/>
        <v>100</v>
      </c>
      <c r="T38" s="770" t="s">
        <v>17</v>
      </c>
      <c r="U38" s="771">
        <f t="shared" si="13"/>
        <v>100</v>
      </c>
      <c r="V38" s="770" t="s">
        <v>17</v>
      </c>
      <c r="W38" s="771">
        <f t="shared" si="14"/>
        <v>100</v>
      </c>
      <c r="X38" s="772"/>
      <c r="Y38" s="3230"/>
      <c r="Z38" s="55" t="str">
        <f t="shared" si="15"/>
        <v>写字楼等级</v>
      </c>
      <c r="AA38" s="773">
        <f t="shared" si="3"/>
        <v>1</v>
      </c>
      <c r="AB38" s="773">
        <f t="shared" si="4"/>
        <v>1</v>
      </c>
      <c r="AC38" s="2671">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8" t="s">
        <v>2557</v>
      </c>
      <c r="Q39" s="1813" t="str">
        <f t="shared" si="11"/>
        <v>物业管理</v>
      </c>
      <c r="R39" s="774" t="s">
        <v>17</v>
      </c>
      <c r="S39" s="775">
        <f t="shared" si="12"/>
        <v>100</v>
      </c>
      <c r="T39" s="774" t="s">
        <v>17</v>
      </c>
      <c r="U39" s="775">
        <f t="shared" si="13"/>
        <v>100</v>
      </c>
      <c r="V39" s="774" t="s">
        <v>17</v>
      </c>
      <c r="W39" s="775">
        <f t="shared" si="14"/>
        <v>100</v>
      </c>
      <c r="X39" s="1816"/>
      <c r="Y39" s="3230" t="s">
        <v>2557</v>
      </c>
      <c r="Z39" s="1817" t="str">
        <f t="shared" si="15"/>
        <v>物业管理</v>
      </c>
      <c r="AA39" s="1814">
        <f t="shared" si="3"/>
        <v>1</v>
      </c>
      <c r="AB39" s="1814">
        <f t="shared" si="4"/>
        <v>1</v>
      </c>
      <c r="AC39" s="2674">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8"/>
      <c r="Q40" s="1813" t="str">
        <f t="shared" si="11"/>
        <v>市政基础设施</v>
      </c>
      <c r="R40" s="774" t="s">
        <v>17</v>
      </c>
      <c r="S40" s="775">
        <f t="shared" si="12"/>
        <v>100</v>
      </c>
      <c r="T40" s="774" t="s">
        <v>17</v>
      </c>
      <c r="U40" s="775">
        <f t="shared" si="13"/>
        <v>100</v>
      </c>
      <c r="V40" s="774" t="s">
        <v>17</v>
      </c>
      <c r="W40" s="775">
        <f t="shared" si="14"/>
        <v>100</v>
      </c>
      <c r="X40" s="1816"/>
      <c r="Y40" s="3230"/>
      <c r="Z40" s="1817" t="str">
        <f t="shared" si="15"/>
        <v>市政基础设施</v>
      </c>
      <c r="AA40" s="1814">
        <f t="shared" si="3"/>
        <v>1</v>
      </c>
      <c r="AB40" s="1814">
        <f t="shared" si="4"/>
        <v>1</v>
      </c>
      <c r="AC40" s="2674">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8"/>
      <c r="Q41" s="1813" t="str">
        <f t="shared" si="11"/>
        <v>层高</v>
      </c>
      <c r="R41" s="774" t="s">
        <v>17</v>
      </c>
      <c r="S41" s="775">
        <f t="shared" si="12"/>
        <v>100</v>
      </c>
      <c r="T41" s="774" t="s">
        <v>17</v>
      </c>
      <c r="U41" s="775">
        <f t="shared" si="13"/>
        <v>100</v>
      </c>
      <c r="V41" s="774" t="s">
        <v>17</v>
      </c>
      <c r="W41" s="775">
        <f t="shared" si="14"/>
        <v>100</v>
      </c>
      <c r="X41" s="1816"/>
      <c r="Y41" s="3230"/>
      <c r="Z41" s="1817" t="str">
        <f t="shared" si="15"/>
        <v>层高</v>
      </c>
      <c r="AA41" s="1814">
        <f t="shared" si="3"/>
        <v>1</v>
      </c>
      <c r="AB41" s="1814">
        <f t="shared" si="4"/>
        <v>1</v>
      </c>
      <c r="AC41" s="2674">
        <f t="shared" si="5"/>
        <v>1</v>
      </c>
    </row>
    <row r="42" spans="1:29" s="471" customFormat="1" ht="15">
      <c r="A42" s="468"/>
      <c r="B42" s="181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8"/>
      <c r="Q42" s="776" t="str">
        <f t="shared" si="11"/>
        <v>单套建筑面积</v>
      </c>
      <c r="R42" s="777" t="s">
        <v>17</v>
      </c>
      <c r="S42" s="778">
        <f t="shared" si="12"/>
        <v>100</v>
      </c>
      <c r="T42" s="777" t="s">
        <v>17</v>
      </c>
      <c r="U42" s="778">
        <f t="shared" si="13"/>
        <v>100</v>
      </c>
      <c r="V42" s="777" t="s">
        <v>17</v>
      </c>
      <c r="W42" s="778">
        <f t="shared" si="14"/>
        <v>100</v>
      </c>
      <c r="X42" s="779"/>
      <c r="Y42" s="3230"/>
      <c r="Z42" s="780" t="str">
        <f t="shared" si="15"/>
        <v>单套建筑面积</v>
      </c>
      <c r="AA42" s="1814">
        <f t="shared" si="3"/>
        <v>1</v>
      </c>
      <c r="AB42" s="1814">
        <f t="shared" si="4"/>
        <v>1</v>
      </c>
      <c r="AC42" s="2674">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8"/>
      <c r="Q43" s="1813" t="str">
        <f t="shared" si="11"/>
        <v>内部装修</v>
      </c>
      <c r="R43" s="774" t="s">
        <v>17</v>
      </c>
      <c r="S43" s="775">
        <f t="shared" si="12"/>
        <v>100</v>
      </c>
      <c r="T43" s="774" t="s">
        <v>17</v>
      </c>
      <c r="U43" s="775">
        <f t="shared" si="13"/>
        <v>100</v>
      </c>
      <c r="V43" s="774" t="s">
        <v>17</v>
      </c>
      <c r="W43" s="775">
        <f t="shared" si="14"/>
        <v>100</v>
      </c>
      <c r="X43" s="1816"/>
      <c r="Y43" s="3230"/>
      <c r="Z43" s="1817" t="str">
        <f t="shared" si="15"/>
        <v>内部装修</v>
      </c>
      <c r="AA43" s="1814">
        <f t="shared" si="3"/>
        <v>1</v>
      </c>
      <c r="AB43" s="1814">
        <f t="shared" si="4"/>
        <v>1</v>
      </c>
      <c r="AC43" s="2674">
        <f t="shared" si="5"/>
        <v>1</v>
      </c>
    </row>
    <row r="44" spans="1:29" ht="15">
      <c r="A44" s="472"/>
      <c r="B44" s="422" t="s">
        <v>2568</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28"/>
      <c r="Q44" s="1813" t="str">
        <f t="shared" si="11"/>
        <v>内部装修维护情况</v>
      </c>
      <c r="R44" s="774" t="s">
        <v>17</v>
      </c>
      <c r="S44" s="775">
        <f t="shared" si="12"/>
        <v>100</v>
      </c>
      <c r="T44" s="774" t="s">
        <v>17</v>
      </c>
      <c r="U44" s="775">
        <f t="shared" si="13"/>
        <v>100</v>
      </c>
      <c r="V44" s="774" t="s">
        <v>17</v>
      </c>
      <c r="W44" s="775">
        <f t="shared" si="14"/>
        <v>100</v>
      </c>
      <c r="X44" s="1816"/>
      <c r="Y44" s="3230"/>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8"/>
      <c r="Q45" s="1798">
        <f t="shared" si="11"/>
        <v>111</v>
      </c>
      <c r="R45" s="770" t="s">
        <v>17</v>
      </c>
      <c r="S45" s="771">
        <f t="shared" si="12"/>
        <v>100</v>
      </c>
      <c r="T45" s="770" t="s">
        <v>17</v>
      </c>
      <c r="U45" s="771">
        <f t="shared" si="13"/>
        <v>100</v>
      </c>
      <c r="V45" s="770" t="s">
        <v>17</v>
      </c>
      <c r="W45" s="771">
        <f t="shared" si="14"/>
        <v>100</v>
      </c>
      <c r="X45" s="772"/>
      <c r="Y45" s="3230"/>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8"/>
      <c r="Q46" s="1813">
        <f t="shared" si="11"/>
        <v>111</v>
      </c>
      <c r="R46" s="774" t="s">
        <v>17</v>
      </c>
      <c r="S46" s="775">
        <f t="shared" si="12"/>
        <v>100</v>
      </c>
      <c r="T46" s="774" t="s">
        <v>17</v>
      </c>
      <c r="U46" s="775">
        <f t="shared" si="13"/>
        <v>100</v>
      </c>
      <c r="V46" s="774" t="s">
        <v>17</v>
      </c>
      <c r="W46" s="775">
        <f t="shared" si="14"/>
        <v>100</v>
      </c>
      <c r="X46" s="1816"/>
      <c r="Y46" s="3230"/>
      <c r="Z46" s="1817">
        <f t="shared" si="15"/>
        <v>111</v>
      </c>
      <c r="AA46" s="1814">
        <f t="shared" si="3"/>
        <v>1</v>
      </c>
      <c r="AB46" s="1814">
        <f t="shared" si="4"/>
        <v>1</v>
      </c>
      <c r="AC46" s="2674">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9"/>
      <c r="Q47" s="1813">
        <f t="shared" si="11"/>
        <v>111</v>
      </c>
      <c r="R47" s="774" t="s">
        <v>17</v>
      </c>
      <c r="S47" s="775">
        <f t="shared" si="12"/>
        <v>100</v>
      </c>
      <c r="T47" s="774" t="s">
        <v>17</v>
      </c>
      <c r="U47" s="775">
        <f t="shared" si="13"/>
        <v>100</v>
      </c>
      <c r="V47" s="774" t="s">
        <v>17</v>
      </c>
      <c r="W47" s="775">
        <f t="shared" si="14"/>
        <v>100</v>
      </c>
      <c r="X47" s="1816"/>
      <c r="Y47" s="3231"/>
      <c r="Z47" s="1817">
        <f t="shared" si="15"/>
        <v>111</v>
      </c>
      <c r="AA47" s="1814">
        <f t="shared" si="3"/>
        <v>1</v>
      </c>
      <c r="AB47" s="1814">
        <f t="shared" si="4"/>
        <v>1</v>
      </c>
      <c r="AC47" s="2674">
        <f t="shared" si="5"/>
        <v>1</v>
      </c>
    </row>
    <row r="48" spans="1:29" ht="15">
      <c r="A48" s="479" t="s">
        <v>2569</v>
      </c>
      <c r="B48" s="480"/>
      <c r="C48" s="1410" t="s">
        <v>1</v>
      </c>
      <c r="D48" s="1411"/>
      <c r="E48" s="1412"/>
      <c r="F48" s="1413"/>
      <c r="G48" s="1414"/>
      <c r="H48" s="1415"/>
      <c r="I48" s="1412"/>
      <c r="J48" s="485"/>
      <c r="K48" s="783"/>
      <c r="L48" s="1146"/>
      <c r="M48" s="1134"/>
      <c r="N48" s="1134"/>
      <c r="O48" s="1134"/>
      <c r="P48" s="3204" t="str">
        <f>A48</f>
        <v>成交单价（元/平方米）</v>
      </c>
      <c r="Q48" s="3223"/>
      <c r="R48" s="3224">
        <f>E48</f>
        <v>0</v>
      </c>
      <c r="S48" s="3224"/>
      <c r="T48" s="3224">
        <f>G48</f>
        <v>0</v>
      </c>
      <c r="U48" s="3224"/>
      <c r="V48" s="3224">
        <f>I48</f>
        <v>0</v>
      </c>
      <c r="W48" s="3224"/>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204" t="str">
        <f>A49</f>
        <v>比较价值（元/平方米）</v>
      </c>
      <c r="Q49" s="3223"/>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75" t="str">
        <f>A50</f>
        <v>估价对象XX用房的比较价值（楼面单价，元/平方米）</v>
      </c>
      <c r="Q50" s="3276"/>
      <c r="R50" s="3277" t="e">
        <f>IF(F1="售价",ROUND(AVERAGE(R49:V49),0),ROUND(AVERAGE(R49:V49),1))</f>
        <v>#DIV/0!</v>
      </c>
      <c r="S50" s="3277"/>
      <c r="T50" s="3277"/>
      <c r="U50" s="3277"/>
      <c r="V50" s="3277"/>
      <c r="W50" s="3277"/>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81"/>
      <c r="Q58" s="504"/>
    </row>
    <row r="59" spans="1:29" s="508" customFormat="1" ht="15">
      <c r="A59" s="505" t="s">
        <v>2540</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2577</v>
      </c>
      <c r="B61" s="516"/>
      <c r="C61" s="517"/>
      <c r="D61" s="518"/>
      <c r="E61" s="518"/>
      <c r="F61" s="518"/>
      <c r="G61" s="518"/>
      <c r="H61" s="518"/>
      <c r="I61" s="518"/>
      <c r="J61" s="518"/>
      <c r="K61" s="518"/>
      <c r="L61" s="518"/>
      <c r="M61" s="519"/>
      <c r="N61" s="518"/>
      <c r="O61" s="519"/>
      <c r="P61" s="2682"/>
      <c r="Q61" s="504"/>
    </row>
    <row r="62" spans="1:29" s="117" customFormat="1" ht="15">
      <c r="A62" s="521" t="s">
        <v>2542</v>
      </c>
      <c r="B62" s="510"/>
      <c r="C62" s="522" t="s">
        <v>2644</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2580</v>
      </c>
      <c r="B64" s="528" t="s">
        <v>2546</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2691</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2555</v>
      </c>
      <c r="B101" s="528" t="s">
        <v>2604</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2606</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2608</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2609</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2610</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2693</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2612</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北京赫华恒瑞房地产开发有限公司：</v>
      </c>
    </row>
    <row r="4" spans="1:1" ht="36">
      <c r="A4" s="1951" t="str">
        <f>"受贵公司委托，我公司对"&amp;项目基本情况!S1&amp;"进行了预评估。"</f>
        <v>受贵公司委托，我公司对北京市海淀区万柳华府北街9号院房地产抵押价值进行了预评估。</v>
      </c>
    </row>
    <row r="5" spans="1:1" ht="18.75">
      <c r="A5" s="1952" t="s">
        <v>1611</v>
      </c>
    </row>
    <row r="6" spans="1:1" ht="18.75">
      <c r="A6" s="1953" t="s">
        <v>1612</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万柳华府北街9号院房地产，为北京赫华恒瑞房地产开发有限公司所有。根据《国有土地使用证》[京海国用（2012出）第00175号]，估价对象（分摊）出让国有建设用地使用权面积为12068.97平方米，建筑面积为44831.79平方米。</v>
      </c>
    </row>
    <row r="8" spans="1:1" ht="57.75">
      <c r="A8" s="1954" t="s">
        <v>1613</v>
      </c>
    </row>
    <row r="9" spans="1:1" ht="18.75">
      <c r="A9" s="1953" t="s">
        <v>1614</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万柳华府北街9号院房地产,属北京赫华恒瑞房地产开发有限公司开发建设的居住项目，该项目尚在开发建设中。根据《国有土地使用证》[京海国用（2012出）第00175号]，估价对象（分摊）出让国有建设用地使用权面积为12068.97平方米，规划建筑面积为44831.79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为估价委托人在向中信银行办理贷款手续过程中，确定房地产抵押贷款额度提供参考依据而评估房地产抵押价值。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2018年11月26日</v>
      </c>
    </row>
    <row r="16" spans="1:1" ht="18.75">
      <c r="A16" s="1956" t="s">
        <v>1618</v>
      </c>
    </row>
    <row r="17" spans="1:1" ht="75">
      <c r="A17" s="1951" t="s">
        <v>1619</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26日，估价对象规划用途为住宅、地下车库，土地取得方式为出让，出让国有建设用地使用权剩余土地使用年限为住宅63.7年、地下车库43.7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实际开发程度为宗地红线外“七通”（即通路、通电、通讯、通上水、通下水、通热、燃气）、红线内场地平整条件下，剩余土地使用年限为住宅63.7年、地下车库43.7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本次评估采用的主估价方法为比较法和收益法。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69" t="s">
        <v>2694</v>
      </c>
      <c r="C1" s="1623" t="s">
        <v>2522</v>
      </c>
      <c r="D1" s="1624"/>
      <c r="E1" s="1633"/>
      <c r="F1" s="2586"/>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IF(C2="——",ROUND(C43*D3/10000,0),ROUND(C43*D3/10000,0)-D2)</f>
        <v>#DIV/0!</v>
      </c>
      <c r="C2" s="2588"/>
      <c r="D2" s="1127" t="e">
        <f ca="1">SUMIF(INDIRECT("'"&amp;F2&amp;"'"&amp;"!A:A"),"承租人权益价值",INDIRECT("'"&amp;F2&amp;"'"&amp;"!c:c"))</f>
        <v>#REF!</v>
      </c>
      <c r="E2" s="2589" t="s">
        <v>2320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44831.789999999994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192" t="s">
        <v>2639</v>
      </c>
      <c r="S4" s="3193"/>
      <c r="T4" s="3192" t="s">
        <v>2640</v>
      </c>
      <c r="U4" s="3193"/>
      <c r="V4" s="3217" t="s">
        <v>2641</v>
      </c>
      <c r="W4" s="3217"/>
      <c r="X4" s="1816"/>
      <c r="Y4" s="3192" t="s">
        <v>2643</v>
      </c>
      <c r="Z4" s="3193"/>
      <c r="AA4" s="3187" t="s">
        <v>2639</v>
      </c>
      <c r="AB4" s="3188" t="s">
        <v>2640</v>
      </c>
      <c r="AC4" s="3187" t="s">
        <v>2641</v>
      </c>
    </row>
    <row r="5" spans="1:29" ht="15">
      <c r="A5" s="404"/>
      <c r="B5" s="405"/>
      <c r="C5" s="3262" t="s">
        <v>2534</v>
      </c>
      <c r="D5" s="3199"/>
      <c r="E5" s="3261" t="s">
        <v>2535</v>
      </c>
      <c r="F5" s="3197"/>
      <c r="G5" s="3262" t="s">
        <v>2536</v>
      </c>
      <c r="H5" s="3199"/>
      <c r="I5" s="3262" t="s">
        <v>2537</v>
      </c>
      <c r="J5" s="3199"/>
      <c r="K5" s="61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18" t="s">
        <v>2538</v>
      </c>
      <c r="D6" s="3201"/>
      <c r="E6" s="3202" t="s">
        <v>2538</v>
      </c>
      <c r="F6" s="3203"/>
      <c r="G6" s="3218" t="s">
        <v>2538</v>
      </c>
      <c r="H6" s="3201"/>
      <c r="I6" s="3218" t="s">
        <v>2538</v>
      </c>
      <c r="J6" s="3201"/>
      <c r="K6" s="610" t="s">
        <v>2539</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2540</v>
      </c>
      <c r="B7" s="409"/>
      <c r="C7" s="410">
        <f>'数据-取费表'!B2</f>
        <v>43430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2541</v>
      </c>
      <c r="Q7" s="3219"/>
      <c r="R7" s="770" t="s">
        <v>17</v>
      </c>
      <c r="S7" s="771">
        <f t="shared" ref="S7:S15" si="0">F7</f>
        <v>0</v>
      </c>
      <c r="T7" s="770" t="s">
        <v>17</v>
      </c>
      <c r="U7" s="771">
        <f t="shared" ref="U7:U15" si="1">H7</f>
        <v>0</v>
      </c>
      <c r="V7" s="770" t="s">
        <v>17</v>
      </c>
      <c r="W7" s="771">
        <f t="shared" ref="W7:W15" si="2">J7</f>
        <v>0</v>
      </c>
      <c r="X7" s="772"/>
      <c r="Y7" s="3190" t="s">
        <v>2541</v>
      </c>
      <c r="Z7" s="3191"/>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2544</v>
      </c>
      <c r="Q8" s="3191"/>
      <c r="R8" s="770" t="s">
        <v>17</v>
      </c>
      <c r="S8" s="771">
        <f t="shared" si="0"/>
        <v>0</v>
      </c>
      <c r="T8" s="770" t="s">
        <v>17</v>
      </c>
      <c r="U8" s="771">
        <f t="shared" si="1"/>
        <v>0</v>
      </c>
      <c r="V8" s="770" t="s">
        <v>17</v>
      </c>
      <c r="W8" s="771">
        <f t="shared" si="2"/>
        <v>0</v>
      </c>
      <c r="X8" s="772"/>
      <c r="Y8" s="3190" t="s">
        <v>2544</v>
      </c>
      <c r="Z8" s="3191"/>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3" t="s">
        <v>2547</v>
      </c>
      <c r="Q9" s="1798" t="str">
        <f t="shared" ref="Q9:Q15" si="6">B9</f>
        <v>用途</v>
      </c>
      <c r="R9" s="770" t="s">
        <v>17</v>
      </c>
      <c r="S9" s="771">
        <f t="shared" si="0"/>
        <v>100</v>
      </c>
      <c r="T9" s="770" t="s">
        <v>17</v>
      </c>
      <c r="U9" s="771">
        <f t="shared" si="1"/>
        <v>100</v>
      </c>
      <c r="V9" s="770" t="s">
        <v>17</v>
      </c>
      <c r="W9" s="771">
        <f t="shared" si="2"/>
        <v>100</v>
      </c>
      <c r="X9" s="772"/>
      <c r="Y9" s="3044"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3"/>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3"/>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223"/>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223"/>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23"/>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2551</v>
      </c>
      <c r="B15" s="69" t="s">
        <v>2695</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5" t="s">
        <v>2552</v>
      </c>
      <c r="Q15" s="1813" t="str">
        <f t="shared" si="6"/>
        <v>产业集聚程度</v>
      </c>
      <c r="R15" s="774" t="s">
        <v>17</v>
      </c>
      <c r="S15" s="775">
        <f t="shared" si="0"/>
        <v>100</v>
      </c>
      <c r="T15" s="774" t="s">
        <v>17</v>
      </c>
      <c r="U15" s="775">
        <f t="shared" si="1"/>
        <v>100</v>
      </c>
      <c r="V15" s="774" t="s">
        <v>17</v>
      </c>
      <c r="W15" s="775">
        <f t="shared" si="2"/>
        <v>100</v>
      </c>
      <c r="X15" s="1816"/>
      <c r="Y15" s="3225" t="s">
        <v>2552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6"/>
      <c r="Q16" s="1813"/>
      <c r="R16" s="774"/>
      <c r="S16" s="775"/>
      <c r="T16" s="774"/>
      <c r="U16" s="775"/>
      <c r="V16" s="774"/>
      <c r="W16" s="775"/>
      <c r="X16" s="1816"/>
      <c r="Y16" s="3226"/>
      <c r="Z16" s="1817"/>
      <c r="AA16" s="1814">
        <v>1</v>
      </c>
      <c r="AB16" s="1814">
        <v>1</v>
      </c>
      <c r="AC16" s="1814">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6"/>
      <c r="Q17" s="1813" t="str">
        <f>B17</f>
        <v>交通便捷度</v>
      </c>
      <c r="R17" s="774" t="s">
        <v>17</v>
      </c>
      <c r="S17" s="775">
        <f>F17</f>
        <v>100</v>
      </c>
      <c r="T17" s="774" t="s">
        <v>17</v>
      </c>
      <c r="U17" s="775">
        <f>H17</f>
        <v>100</v>
      </c>
      <c r="V17" s="774" t="s">
        <v>17</v>
      </c>
      <c r="W17" s="775">
        <f>J17</f>
        <v>100</v>
      </c>
      <c r="X17" s="1816"/>
      <c r="Y17" s="3226"/>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226"/>
      <c r="Q18" s="1813"/>
      <c r="R18" s="774"/>
      <c r="S18" s="775"/>
      <c r="T18" s="774"/>
      <c r="U18" s="775"/>
      <c r="V18" s="774"/>
      <c r="W18" s="775"/>
      <c r="X18" s="1816"/>
      <c r="Y18" s="3226"/>
      <c r="Z18" s="1817"/>
      <c r="AA18" s="1814">
        <v>1</v>
      </c>
      <c r="AB18" s="1814">
        <v>1</v>
      </c>
      <c r="AC18" s="1814">
        <v>1</v>
      </c>
    </row>
    <row r="19" spans="1:29" ht="42.75">
      <c r="A19" s="428"/>
      <c r="B19" s="451" t="s">
        <v>2680</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6"/>
      <c r="Q19" s="1813" t="str">
        <f>B19</f>
        <v>公共配套设施</v>
      </c>
      <c r="R19" s="774" t="s">
        <v>17</v>
      </c>
      <c r="S19" s="775">
        <f>F19</f>
        <v>100</v>
      </c>
      <c r="T19" s="774" t="s">
        <v>17</v>
      </c>
      <c r="U19" s="775">
        <f>H19</f>
        <v>100</v>
      </c>
      <c r="V19" s="774" t="s">
        <v>17</v>
      </c>
      <c r="W19" s="775">
        <f>J19</f>
        <v>100</v>
      </c>
      <c r="X19" s="1816"/>
      <c r="Y19" s="3226"/>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226"/>
      <c r="Q20" s="1813"/>
      <c r="R20" s="774"/>
      <c r="S20" s="775"/>
      <c r="T20" s="774"/>
      <c r="U20" s="775"/>
      <c r="V20" s="774"/>
      <c r="W20" s="775"/>
      <c r="X20" s="1816"/>
      <c r="Y20" s="3226"/>
      <c r="Z20" s="1817"/>
      <c r="AA20" s="1814">
        <v>1</v>
      </c>
      <c r="AB20" s="1814">
        <v>1</v>
      </c>
      <c r="AC20" s="1814">
        <v>1</v>
      </c>
    </row>
    <row r="21" spans="1:29" ht="28.5">
      <c r="A21" s="428"/>
      <c r="B21" s="1387" t="s">
        <v>2681</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6"/>
      <c r="Q21" s="1813" t="str">
        <f>B21</f>
        <v>基础设施水平</v>
      </c>
      <c r="R21" s="774" t="s">
        <v>17</v>
      </c>
      <c r="S21" s="775">
        <f>F21</f>
        <v>100</v>
      </c>
      <c r="T21" s="774" t="s">
        <v>17</v>
      </c>
      <c r="U21" s="775">
        <f>H21</f>
        <v>100</v>
      </c>
      <c r="V21" s="774" t="s">
        <v>17</v>
      </c>
      <c r="W21" s="775">
        <f>J21</f>
        <v>100</v>
      </c>
      <c r="X21" s="1816"/>
      <c r="Y21" s="3226"/>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226"/>
      <c r="Q22" s="1813"/>
      <c r="R22" s="774"/>
      <c r="S22" s="775"/>
      <c r="T22" s="774"/>
      <c r="U22" s="775"/>
      <c r="V22" s="774"/>
      <c r="W22" s="775"/>
      <c r="X22" s="1816"/>
      <c r="Y22" s="3226"/>
      <c r="Z22" s="1817"/>
      <c r="AA22" s="1814">
        <v>1</v>
      </c>
      <c r="AB22" s="1814">
        <v>1</v>
      </c>
      <c r="AC22" s="1814">
        <v>1</v>
      </c>
    </row>
    <row r="23" spans="1:29" ht="71.25">
      <c r="A23" s="428"/>
      <c r="B23" s="451" t="s">
        <v>2682</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6"/>
      <c r="Q23" s="1813" t="str">
        <f>B23</f>
        <v>环境质量</v>
      </c>
      <c r="R23" s="774" t="s">
        <v>17</v>
      </c>
      <c r="S23" s="775">
        <f>F23</f>
        <v>100</v>
      </c>
      <c r="T23" s="774" t="s">
        <v>17</v>
      </c>
      <c r="U23" s="775">
        <f>H23</f>
        <v>100</v>
      </c>
      <c r="V23" s="774" t="s">
        <v>17</v>
      </c>
      <c r="W23" s="775">
        <f>J23</f>
        <v>100</v>
      </c>
      <c r="X23" s="1816"/>
      <c r="Y23" s="3226"/>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226"/>
      <c r="Q24" s="1813"/>
      <c r="R24" s="774"/>
      <c r="S24" s="775"/>
      <c r="T24" s="774"/>
      <c r="U24" s="775"/>
      <c r="V24" s="774"/>
      <c r="W24" s="775"/>
      <c r="X24" s="1816"/>
      <c r="Y24" s="322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6"/>
      <c r="Q25" s="1813">
        <f>B25</f>
        <v>111</v>
      </c>
      <c r="R25" s="774" t="s">
        <v>17</v>
      </c>
      <c r="S25" s="775">
        <f>F25</f>
        <v>100</v>
      </c>
      <c r="T25" s="774" t="s">
        <v>17</v>
      </c>
      <c r="U25" s="775">
        <f>H25</f>
        <v>100</v>
      </c>
      <c r="V25" s="774" t="s">
        <v>17</v>
      </c>
      <c r="W25" s="775">
        <f>J25</f>
        <v>100</v>
      </c>
      <c r="X25" s="1816"/>
      <c r="Y25" s="322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6"/>
      <c r="Q26" s="1813">
        <f t="shared" ref="Q26:Q40" si="11">B26</f>
        <v>111</v>
      </c>
      <c r="R26" s="774" t="s">
        <v>17</v>
      </c>
      <c r="S26" s="775">
        <f>F26</f>
        <v>100</v>
      </c>
      <c r="T26" s="774" t="s">
        <v>17</v>
      </c>
      <c r="U26" s="775">
        <f>H26</f>
        <v>100</v>
      </c>
      <c r="V26" s="774" t="s">
        <v>17</v>
      </c>
      <c r="W26" s="775">
        <f>J26</f>
        <v>100</v>
      </c>
      <c r="X26" s="1816"/>
      <c r="Y26" s="322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6"/>
      <c r="Q27" s="1798">
        <f t="shared" si="11"/>
        <v>111</v>
      </c>
      <c r="R27" s="770" t="s">
        <v>17</v>
      </c>
      <c r="S27" s="771">
        <f>F27</f>
        <v>100</v>
      </c>
      <c r="T27" s="770" t="s">
        <v>17</v>
      </c>
      <c r="U27" s="771">
        <f>H27</f>
        <v>100</v>
      </c>
      <c r="V27" s="770" t="s">
        <v>17</v>
      </c>
      <c r="W27" s="771">
        <f>J27</f>
        <v>100</v>
      </c>
      <c r="X27" s="772"/>
      <c r="Y27" s="322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6"/>
      <c r="Q28" s="1813">
        <f t="shared" si="11"/>
        <v>111</v>
      </c>
      <c r="R28" s="774" t="s">
        <v>17</v>
      </c>
      <c r="S28" s="775">
        <f t="shared" ref="S28:S40" si="12">F28</f>
        <v>100</v>
      </c>
      <c r="T28" s="774" t="s">
        <v>17</v>
      </c>
      <c r="U28" s="775">
        <f t="shared" ref="U28:U40" si="13">H28</f>
        <v>100</v>
      </c>
      <c r="V28" s="774" t="s">
        <v>17</v>
      </c>
      <c r="W28" s="775">
        <f t="shared" ref="W28:W40" si="14">J28</f>
        <v>100</v>
      </c>
      <c r="X28" s="1816"/>
      <c r="Y28" s="3226"/>
      <c r="Z28" s="1817">
        <f t="shared" ref="Z28:Z40" si="15">Q28</f>
        <v>111</v>
      </c>
      <c r="AA28" s="1814">
        <f t="shared" si="3"/>
        <v>1</v>
      </c>
      <c r="AB28" s="1814">
        <f t="shared" si="4"/>
        <v>1</v>
      </c>
      <c r="AC28" s="1814">
        <f t="shared" si="5"/>
        <v>1</v>
      </c>
    </row>
    <row r="29" spans="1:29" ht="15">
      <c r="A29" s="466" t="s">
        <v>2555</v>
      </c>
      <c r="B29" s="71" t="s">
        <v>2685</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78" t="s">
        <v>2557</v>
      </c>
      <c r="Q29" s="1813" t="str">
        <f t="shared" si="11"/>
        <v>建筑类型</v>
      </c>
      <c r="R29" s="774" t="s">
        <v>17</v>
      </c>
      <c r="S29" s="775">
        <f t="shared" si="12"/>
        <v>100</v>
      </c>
      <c r="T29" s="774" t="s">
        <v>17</v>
      </c>
      <c r="U29" s="775">
        <f t="shared" si="13"/>
        <v>100</v>
      </c>
      <c r="V29" s="774" t="s">
        <v>17</v>
      </c>
      <c r="W29" s="775">
        <f t="shared" si="14"/>
        <v>100</v>
      </c>
      <c r="X29" s="1816"/>
      <c r="Y29" s="3230" t="s">
        <v>2557</v>
      </c>
      <c r="Z29" s="1817" t="str">
        <f t="shared" si="15"/>
        <v>建筑类型</v>
      </c>
      <c r="AA29" s="1814">
        <f t="shared" si="3"/>
        <v>1</v>
      </c>
      <c r="AB29" s="1814">
        <f t="shared" si="4"/>
        <v>1</v>
      </c>
      <c r="AC29" s="1814">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0"/>
      <c r="Q30" s="776" t="str">
        <f t="shared" si="11"/>
        <v>项目建筑规模</v>
      </c>
      <c r="R30" s="777" t="s">
        <v>17</v>
      </c>
      <c r="S30" s="778" t="e">
        <f t="shared" si="12"/>
        <v>#N/A</v>
      </c>
      <c r="T30" s="777" t="s">
        <v>17</v>
      </c>
      <c r="U30" s="778" t="e">
        <f t="shared" si="13"/>
        <v>#N/A</v>
      </c>
      <c r="V30" s="777" t="s">
        <v>17</v>
      </c>
      <c r="W30" s="778" t="e">
        <f t="shared" si="14"/>
        <v>#N/A</v>
      </c>
      <c r="X30" s="779"/>
      <c r="Y30" s="3230"/>
      <c r="Z30" s="780" t="str">
        <f t="shared" si="15"/>
        <v>项目建筑规模</v>
      </c>
      <c r="AA30" s="1814" t="e">
        <f t="shared" si="3"/>
        <v>#N/A</v>
      </c>
      <c r="AB30" s="1814" t="e">
        <f t="shared" si="4"/>
        <v>#N/A</v>
      </c>
      <c r="AC30" s="1814"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0"/>
      <c r="Q31" s="1813" t="str">
        <f t="shared" si="11"/>
        <v>建筑结构</v>
      </c>
      <c r="R31" s="774" t="s">
        <v>17</v>
      </c>
      <c r="S31" s="775">
        <f t="shared" si="12"/>
        <v>100</v>
      </c>
      <c r="T31" s="774" t="s">
        <v>17</v>
      </c>
      <c r="U31" s="775">
        <f t="shared" si="13"/>
        <v>100</v>
      </c>
      <c r="V31" s="774" t="s">
        <v>17</v>
      </c>
      <c r="W31" s="775">
        <f t="shared" si="14"/>
        <v>100</v>
      </c>
      <c r="X31" s="1816"/>
      <c r="Y31" s="3230"/>
      <c r="Z31" s="1817" t="str">
        <f t="shared" si="15"/>
        <v>建筑结构</v>
      </c>
      <c r="AA31" s="1814">
        <f t="shared" si="3"/>
        <v>1</v>
      </c>
      <c r="AB31" s="1814">
        <f t="shared" si="4"/>
        <v>1</v>
      </c>
      <c r="AC31" s="1814">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0"/>
      <c r="Q32" s="1813" t="str">
        <f t="shared" si="11"/>
        <v>公共部分装修</v>
      </c>
      <c r="R32" s="774" t="s">
        <v>17</v>
      </c>
      <c r="S32" s="775">
        <f t="shared" si="12"/>
        <v>100</v>
      </c>
      <c r="T32" s="774" t="s">
        <v>17</v>
      </c>
      <c r="U32" s="775">
        <f t="shared" si="13"/>
        <v>100</v>
      </c>
      <c r="V32" s="774" t="s">
        <v>17</v>
      </c>
      <c r="W32" s="775">
        <f t="shared" si="14"/>
        <v>100</v>
      </c>
      <c r="X32" s="1816"/>
      <c r="Y32" s="3230"/>
      <c r="Z32" s="1817" t="str">
        <f t="shared" si="15"/>
        <v>公共部分装修</v>
      </c>
      <c r="AA32" s="1814">
        <f t="shared" si="3"/>
        <v>1</v>
      </c>
      <c r="AB32" s="1814">
        <f t="shared" si="4"/>
        <v>1</v>
      </c>
      <c r="AC32" s="1814">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0"/>
      <c r="Q33" s="1813" t="str">
        <f t="shared" si="11"/>
        <v>成新度</v>
      </c>
      <c r="R33" s="774" t="s">
        <v>17</v>
      </c>
      <c r="S33" s="775" t="e">
        <f t="shared" si="12"/>
        <v>#N/A</v>
      </c>
      <c r="T33" s="774" t="s">
        <v>17</v>
      </c>
      <c r="U33" s="775" t="e">
        <f t="shared" si="13"/>
        <v>#N/A</v>
      </c>
      <c r="V33" s="774" t="s">
        <v>17</v>
      </c>
      <c r="W33" s="775" t="e">
        <f t="shared" si="14"/>
        <v>#N/A</v>
      </c>
      <c r="X33" s="1816"/>
      <c r="Y33" s="3230"/>
      <c r="Z33" s="1817" t="str">
        <f t="shared" si="15"/>
        <v>成新度</v>
      </c>
      <c r="AA33" s="1814" t="e">
        <f t="shared" si="3"/>
        <v>#N/A</v>
      </c>
      <c r="AB33" s="1814" t="e">
        <f t="shared" si="4"/>
        <v>#N/A</v>
      </c>
      <c r="AC33" s="1814"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0"/>
      <c r="Q34" s="1798" t="str">
        <f t="shared" si="11"/>
        <v>物业管理</v>
      </c>
      <c r="R34" s="770" t="s">
        <v>17</v>
      </c>
      <c r="S34" s="771">
        <f t="shared" si="12"/>
        <v>100</v>
      </c>
      <c r="T34" s="770" t="s">
        <v>17</v>
      </c>
      <c r="U34" s="771">
        <f t="shared" si="13"/>
        <v>100</v>
      </c>
      <c r="V34" s="770" t="s">
        <v>17</v>
      </c>
      <c r="W34" s="771">
        <f t="shared" si="14"/>
        <v>100</v>
      </c>
      <c r="X34" s="772"/>
      <c r="Y34" s="3230"/>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0" t="s">
        <v>2557</v>
      </c>
      <c r="Q35" s="1813" t="str">
        <f t="shared" si="11"/>
        <v>市政基础设施</v>
      </c>
      <c r="R35" s="774" t="s">
        <v>17</v>
      </c>
      <c r="S35" s="775">
        <f t="shared" si="12"/>
        <v>100</v>
      </c>
      <c r="T35" s="774" t="s">
        <v>17</v>
      </c>
      <c r="U35" s="775">
        <f t="shared" si="13"/>
        <v>100</v>
      </c>
      <c r="V35" s="774" t="s">
        <v>17</v>
      </c>
      <c r="W35" s="775">
        <f t="shared" si="14"/>
        <v>100</v>
      </c>
      <c r="X35" s="1816"/>
      <c r="Y35" s="3230" t="s">
        <v>2557</v>
      </c>
      <c r="Z35" s="1817" t="str">
        <f t="shared" si="15"/>
        <v>市政基础设施</v>
      </c>
      <c r="AA35" s="1814">
        <f t="shared" si="3"/>
        <v>1</v>
      </c>
      <c r="AB35" s="1814">
        <f t="shared" si="4"/>
        <v>1</v>
      </c>
      <c r="AC35" s="1814">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0"/>
      <c r="Q36" s="1813" t="str">
        <f t="shared" si="11"/>
        <v>内部装修</v>
      </c>
      <c r="R36" s="774" t="s">
        <v>17</v>
      </c>
      <c r="S36" s="775">
        <f t="shared" si="12"/>
        <v>100</v>
      </c>
      <c r="T36" s="774" t="s">
        <v>17</v>
      </c>
      <c r="U36" s="775">
        <f t="shared" si="13"/>
        <v>100</v>
      </c>
      <c r="V36" s="774" t="s">
        <v>17</v>
      </c>
      <c r="W36" s="775">
        <f t="shared" si="14"/>
        <v>100</v>
      </c>
      <c r="X36" s="1816"/>
      <c r="Y36" s="3230"/>
      <c r="Z36" s="1817" t="str">
        <f t="shared" si="15"/>
        <v>内部装修</v>
      </c>
      <c r="AA36" s="1814">
        <f t="shared" si="3"/>
        <v>1</v>
      </c>
      <c r="AB36" s="1814">
        <f t="shared" si="4"/>
        <v>1</v>
      </c>
      <c r="AC36" s="1814">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0"/>
      <c r="Q37" s="1813" t="str">
        <f t="shared" si="11"/>
        <v>内部装修状况</v>
      </c>
      <c r="R37" s="774" t="s">
        <v>17</v>
      </c>
      <c r="S37" s="775">
        <f t="shared" si="12"/>
        <v>100</v>
      </c>
      <c r="T37" s="774" t="s">
        <v>17</v>
      </c>
      <c r="U37" s="775">
        <f t="shared" si="13"/>
        <v>100</v>
      </c>
      <c r="V37" s="774" t="s">
        <v>17</v>
      </c>
      <c r="W37" s="775">
        <f t="shared" si="14"/>
        <v>100</v>
      </c>
      <c r="X37" s="1816"/>
      <c r="Y37" s="323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0"/>
      <c r="Q38" s="776">
        <f t="shared" si="11"/>
        <v>111</v>
      </c>
      <c r="R38" s="777" t="s">
        <v>17</v>
      </c>
      <c r="S38" s="778">
        <f t="shared" si="12"/>
        <v>100</v>
      </c>
      <c r="T38" s="777" t="s">
        <v>17</v>
      </c>
      <c r="U38" s="778">
        <f t="shared" si="13"/>
        <v>100</v>
      </c>
      <c r="V38" s="777" t="s">
        <v>17</v>
      </c>
      <c r="W38" s="778">
        <f t="shared" si="14"/>
        <v>100</v>
      </c>
      <c r="X38" s="779"/>
      <c r="Y38" s="323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0"/>
      <c r="Q39" s="1813">
        <f t="shared" si="11"/>
        <v>111</v>
      </c>
      <c r="R39" s="774" t="s">
        <v>17</v>
      </c>
      <c r="S39" s="775">
        <f t="shared" si="12"/>
        <v>100</v>
      </c>
      <c r="T39" s="774" t="s">
        <v>17</v>
      </c>
      <c r="U39" s="775">
        <f t="shared" si="13"/>
        <v>100</v>
      </c>
      <c r="V39" s="774" t="s">
        <v>17</v>
      </c>
      <c r="W39" s="775">
        <f t="shared" si="14"/>
        <v>100</v>
      </c>
      <c r="X39" s="1816"/>
      <c r="Y39" s="3230"/>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1"/>
      <c r="Q40" s="1813">
        <f t="shared" si="11"/>
        <v>111</v>
      </c>
      <c r="R40" s="774" t="s">
        <v>17</v>
      </c>
      <c r="S40" s="775">
        <f t="shared" si="12"/>
        <v>100</v>
      </c>
      <c r="T40" s="774" t="s">
        <v>17</v>
      </c>
      <c r="U40" s="775">
        <f t="shared" si="13"/>
        <v>100</v>
      </c>
      <c r="V40" s="774" t="s">
        <v>17</v>
      </c>
      <c r="W40" s="775">
        <f t="shared" si="14"/>
        <v>100</v>
      </c>
      <c r="X40" s="1816"/>
      <c r="Y40" s="3231"/>
      <c r="Z40" s="1817">
        <f t="shared" si="15"/>
        <v>111</v>
      </c>
      <c r="AA40" s="1814">
        <f t="shared" si="3"/>
        <v>1</v>
      </c>
      <c r="AB40" s="1814">
        <f t="shared" si="4"/>
        <v>1</v>
      </c>
      <c r="AC40" s="1814">
        <f t="shared" si="5"/>
        <v>1</v>
      </c>
    </row>
    <row r="41" spans="1:29" ht="15">
      <c r="A41" s="479" t="s">
        <v>2569</v>
      </c>
      <c r="B41" s="480"/>
      <c r="C41" s="1410" t="s">
        <v>1</v>
      </c>
      <c r="D41" s="1411"/>
      <c r="E41" s="1412"/>
      <c r="F41" s="1413"/>
      <c r="G41" s="1414"/>
      <c r="H41" s="1415"/>
      <c r="I41" s="1412"/>
      <c r="J41" s="1415"/>
      <c r="K41" s="783"/>
      <c r="L41" s="1146"/>
      <c r="M41" s="1147"/>
      <c r="N41" s="1134"/>
      <c r="O41" s="1147"/>
      <c r="P41" s="3223" t="str">
        <f>A41</f>
        <v>成交单价（元/平方米）</v>
      </c>
      <c r="Q41" s="3223"/>
      <c r="R41" s="3224">
        <f>E41</f>
        <v>0</v>
      </c>
      <c r="S41" s="3224"/>
      <c r="T41" s="3224">
        <f>G41</f>
        <v>0</v>
      </c>
      <c r="U41" s="3224"/>
      <c r="V41" s="3224">
        <f>I41</f>
        <v>0</v>
      </c>
      <c r="W41" s="3224"/>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220" t="str">
        <f>A43</f>
        <v>估价对象XX用房的比较价值（楼面单价，元/平方米）</v>
      </c>
      <c r="Q43" s="3221"/>
      <c r="R43" s="3222" t="e">
        <f>IF(F1="售价",ROUND(AVERAGE(R42:V42),0),ROUND(AVERAGE(R42:V42),1))</f>
        <v>#DIV/0!</v>
      </c>
      <c r="S43" s="3222"/>
      <c r="T43" s="3222"/>
      <c r="U43" s="3222"/>
      <c r="V43" s="3222"/>
      <c r="W43" s="322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25"/>
      <c r="F1" s="2586"/>
      <c r="G1" s="1626" t="s">
        <v>2635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2319</v>
      </c>
      <c r="B2" s="1421" t="e">
        <f ca="1">IF(C2="——",IF(B37="元/平方米",ROUND(C39*D3/10000,0),ROUND(F3*C39/10000,0)),IF(B37="元/平方米",ROUND(C39*D3/10000,0),ROUND(F3*C39/10000,0))-D2)</f>
        <v>#DIV/0!</v>
      </c>
      <c r="C2" s="2588"/>
      <c r="D2" s="1127" t="e">
        <f ca="1">SUMIF(INDIRECT("'"&amp;F2&amp;"'"&amp;"!A:A"),"承租人权益价值",INDIRECT("'"&amp;F2&amp;"'"&amp;"!c:c"))</f>
        <v>#REF!</v>
      </c>
      <c r="E2" s="2589" t="s">
        <v>2320</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192" t="s">
        <v>2639</v>
      </c>
      <c r="S4" s="3193"/>
      <c r="T4" s="3192" t="s">
        <v>2640</v>
      </c>
      <c r="U4" s="3193"/>
      <c r="V4" s="3217" t="s">
        <v>2641</v>
      </c>
      <c r="W4" s="3217"/>
      <c r="X4" s="1816"/>
      <c r="Y4" s="3192" t="s">
        <v>2643</v>
      </c>
      <c r="Z4" s="3193"/>
      <c r="AA4" s="3187" t="s">
        <v>2639</v>
      </c>
      <c r="AB4" s="3188" t="s">
        <v>2640</v>
      </c>
      <c r="AC4" s="3187" t="s">
        <v>2641</v>
      </c>
    </row>
    <row r="5" spans="1:29" ht="15">
      <c r="A5" s="404"/>
      <c r="B5" s="405"/>
      <c r="C5" s="3262" t="s">
        <v>2534</v>
      </c>
      <c r="D5" s="3199"/>
      <c r="E5" s="3261" t="s">
        <v>2535</v>
      </c>
      <c r="F5" s="3197"/>
      <c r="G5" s="3262" t="s">
        <v>2536</v>
      </c>
      <c r="H5" s="3199"/>
      <c r="I5" s="3262" t="s">
        <v>2537</v>
      </c>
      <c r="J5" s="3199"/>
      <c r="K5" s="61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18" t="s">
        <v>2538</v>
      </c>
      <c r="D6" s="3201"/>
      <c r="E6" s="3202" t="s">
        <v>2538</v>
      </c>
      <c r="F6" s="3203"/>
      <c r="G6" s="3218" t="s">
        <v>2538</v>
      </c>
      <c r="H6" s="3201"/>
      <c r="I6" s="3218" t="s">
        <v>2538</v>
      </c>
      <c r="J6" s="3201"/>
      <c r="K6" s="610" t="s">
        <v>2539</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2540</v>
      </c>
      <c r="B7" s="409"/>
      <c r="C7" s="410">
        <f>'数据-取费表'!B2</f>
        <v>43430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2541</v>
      </c>
      <c r="Q7" s="3219"/>
      <c r="R7" s="770" t="s">
        <v>17</v>
      </c>
      <c r="S7" s="771">
        <f t="shared" ref="S7:S14" si="0">F7</f>
        <v>0</v>
      </c>
      <c r="T7" s="770" t="s">
        <v>17</v>
      </c>
      <c r="U7" s="771">
        <f t="shared" ref="U7:U14" si="1">H7</f>
        <v>0</v>
      </c>
      <c r="V7" s="770" t="s">
        <v>17</v>
      </c>
      <c r="W7" s="771">
        <f t="shared" ref="W7:W14" si="2">J7</f>
        <v>0</v>
      </c>
      <c r="X7" s="772"/>
      <c r="Y7" s="3190" t="s">
        <v>2541</v>
      </c>
      <c r="Z7" s="3191"/>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2544</v>
      </c>
      <c r="Q8" s="3191"/>
      <c r="R8" s="770" t="s">
        <v>17</v>
      </c>
      <c r="S8" s="771">
        <f t="shared" si="0"/>
        <v>0</v>
      </c>
      <c r="T8" s="770" t="s">
        <v>17</v>
      </c>
      <c r="U8" s="771">
        <f t="shared" si="1"/>
        <v>0</v>
      </c>
      <c r="V8" s="770" t="s">
        <v>17</v>
      </c>
      <c r="W8" s="771">
        <f t="shared" si="2"/>
        <v>0</v>
      </c>
      <c r="X8" s="772"/>
      <c r="Y8" s="3190" t="s">
        <v>2544</v>
      </c>
      <c r="Z8" s="3191"/>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3" t="s">
        <v>2547</v>
      </c>
      <c r="Q9" s="1798" t="str">
        <f t="shared" ref="Q9:Q14" si="6">B9</f>
        <v>用途</v>
      </c>
      <c r="R9" s="770" t="s">
        <v>17</v>
      </c>
      <c r="S9" s="771">
        <f t="shared" si="0"/>
        <v>100</v>
      </c>
      <c r="T9" s="770" t="s">
        <v>17</v>
      </c>
      <c r="U9" s="771">
        <f t="shared" si="1"/>
        <v>100</v>
      </c>
      <c r="V9" s="770" t="s">
        <v>17</v>
      </c>
      <c r="W9" s="771">
        <f t="shared" si="2"/>
        <v>100</v>
      </c>
      <c r="X9" s="772"/>
      <c r="Y9" s="3044"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3"/>
      <c r="Q11" s="1798">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3"/>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3"/>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270.75">
      <c r="A14" s="401" t="s">
        <v>2551</v>
      </c>
      <c r="B14" s="629" t="s">
        <v>2701</v>
      </c>
      <c r="C14" s="2693" t="str">
        <f>IF(B1="工业",估价对象房地状况!G4,估价对象房地状况!C6)</f>
        <v>估价对象位于海淀区万柳地区，北距北四环西路约600米，周边路网较为密集，行车出入便捷。且项目及周边道路均设有停车场位，停车便捷。周边1公里范围内有481路、664路等公交线路，且地铁10号线巴沟站位于地块东北角，公交便捷度好。综上分析，估价对象所在区位整体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5" t="s">
        <v>2552</v>
      </c>
      <c r="Q14" s="1813" t="str">
        <f t="shared" si="6"/>
        <v>交通便捷度</v>
      </c>
      <c r="R14" s="774" t="s">
        <v>17</v>
      </c>
      <c r="S14" s="775">
        <f t="shared" si="0"/>
        <v>100</v>
      </c>
      <c r="T14" s="774" t="s">
        <v>17</v>
      </c>
      <c r="U14" s="775">
        <f t="shared" si="1"/>
        <v>100</v>
      </c>
      <c r="V14" s="774" t="s">
        <v>17</v>
      </c>
      <c r="W14" s="775">
        <f t="shared" si="2"/>
        <v>100</v>
      </c>
      <c r="X14" s="1816"/>
      <c r="Y14" s="3225" t="s">
        <v>2552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6"/>
      <c r="Q15" s="1813"/>
      <c r="R15" s="774"/>
      <c r="S15" s="775"/>
      <c r="T15" s="774"/>
      <c r="U15" s="775"/>
      <c r="V15" s="774"/>
      <c r="W15" s="775"/>
      <c r="X15" s="1816"/>
      <c r="Y15" s="3226"/>
      <c r="Z15" s="1817"/>
      <c r="AA15" s="1814">
        <v>1</v>
      </c>
      <c r="AB15" s="1814">
        <v>1</v>
      </c>
      <c r="AC15" s="1814">
        <v>1</v>
      </c>
    </row>
    <row r="16" spans="1:29" ht="213.75">
      <c r="A16" s="404"/>
      <c r="B16" s="631" t="s">
        <v>2680</v>
      </c>
      <c r="C16" s="2608" t="str">
        <f>IF(B1="工业",估价对象房地状况!G5,估价对象房地状况!C7)</f>
        <v>周边1.5公里内的公共服务配套设施较为齐备，有购物场所（北京华联万柳购物中心）、医院（北京市海淀区妇幼保健院）、银行（中国光大银行、浦发银行）、学校（北京市八一学校、万泉小学）、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6"/>
      <c r="Q16" s="1813" t="str">
        <f>B16</f>
        <v>公共配套设施</v>
      </c>
      <c r="R16" s="774" t="s">
        <v>17</v>
      </c>
      <c r="S16" s="775">
        <f>F16</f>
        <v>100</v>
      </c>
      <c r="T16" s="774" t="s">
        <v>17</v>
      </c>
      <c r="U16" s="775">
        <f>H16</f>
        <v>100</v>
      </c>
      <c r="V16" s="774" t="s">
        <v>17</v>
      </c>
      <c r="W16" s="775">
        <f>J16</f>
        <v>100</v>
      </c>
      <c r="X16" s="1816"/>
      <c r="Y16" s="3226"/>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226"/>
      <c r="Q17" s="1813"/>
      <c r="R17" s="774"/>
      <c r="S17" s="775"/>
      <c r="T17" s="774"/>
      <c r="U17" s="775"/>
      <c r="V17" s="774"/>
      <c r="W17" s="775"/>
      <c r="X17" s="1816"/>
      <c r="Y17" s="3226"/>
      <c r="Z17" s="1817"/>
      <c r="AA17" s="1814">
        <v>1</v>
      </c>
      <c r="AB17" s="1814">
        <v>1</v>
      </c>
      <c r="AC17" s="1814">
        <v>1</v>
      </c>
    </row>
    <row r="18" spans="1:29" ht="42.75">
      <c r="A18" s="404"/>
      <c r="B18" s="633" t="s">
        <v>2681</v>
      </c>
      <c r="C18" s="2608"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6"/>
      <c r="Q18" s="1813" t="str">
        <f>B18</f>
        <v>基础设施水平</v>
      </c>
      <c r="R18" s="774" t="s">
        <v>17</v>
      </c>
      <c r="S18" s="775">
        <f>F18</f>
        <v>100</v>
      </c>
      <c r="T18" s="774" t="s">
        <v>17</v>
      </c>
      <c r="U18" s="775">
        <f>H18</f>
        <v>100</v>
      </c>
      <c r="V18" s="774" t="s">
        <v>17</v>
      </c>
      <c r="W18" s="775">
        <f>J18</f>
        <v>100</v>
      </c>
      <c r="X18" s="1816"/>
      <c r="Y18" s="3226"/>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226"/>
      <c r="Q19" s="1813"/>
      <c r="R19" s="774"/>
      <c r="S19" s="775"/>
      <c r="T19" s="774"/>
      <c r="U19" s="775"/>
      <c r="V19" s="774"/>
      <c r="W19" s="775"/>
      <c r="X19" s="1816"/>
      <c r="Y19" s="3226"/>
      <c r="Z19" s="1817"/>
      <c r="AA19" s="1814">
        <v>1</v>
      </c>
      <c r="AB19" s="1814">
        <v>1</v>
      </c>
      <c r="AC19" s="1814">
        <v>1</v>
      </c>
    </row>
    <row r="20" spans="1:29" ht="156.75">
      <c r="A20" s="404"/>
      <c r="B20" s="631" t="s">
        <v>2702</v>
      </c>
      <c r="C20" s="2608" t="str">
        <f>IF(B1="工业",估价对象房地状况!G7,估价对象房地状况!C9)</f>
        <v>估价对象所在区域有2公里范围内有海淀公园、巴沟山水园等自然景观；人文环境：多家幼儿园及北京市八一中学、中国人民大学等，人文环境好；综合评价环境状况较好。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6"/>
      <c r="Q20" s="1813" t="str">
        <f>B20</f>
        <v>自然及人文环境</v>
      </c>
      <c r="R20" s="774" t="s">
        <v>17</v>
      </c>
      <c r="S20" s="775">
        <f>F20</f>
        <v>100</v>
      </c>
      <c r="T20" s="774" t="s">
        <v>17</v>
      </c>
      <c r="U20" s="775">
        <f>H20</f>
        <v>100</v>
      </c>
      <c r="V20" s="774" t="s">
        <v>17</v>
      </c>
      <c r="W20" s="775">
        <f>J20</f>
        <v>100</v>
      </c>
      <c r="X20" s="1816"/>
      <c r="Y20" s="322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6"/>
      <c r="Q21" s="1813"/>
      <c r="R21" s="774"/>
      <c r="S21" s="775"/>
      <c r="T21" s="774"/>
      <c r="U21" s="775"/>
      <c r="V21" s="774"/>
      <c r="W21" s="775"/>
      <c r="X21" s="1816"/>
      <c r="Y21" s="3226"/>
      <c r="Z21" s="1817"/>
      <c r="AA21" s="1814">
        <v>1</v>
      </c>
      <c r="AB21" s="1814">
        <v>1</v>
      </c>
      <c r="AC21" s="1814">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6"/>
      <c r="Q22" s="1813" t="str">
        <f>B22</f>
        <v>楼层</v>
      </c>
      <c r="R22" s="774" t="s">
        <v>17</v>
      </c>
      <c r="S22" s="775">
        <f>F22</f>
        <v>100</v>
      </c>
      <c r="T22" s="774" t="s">
        <v>17</v>
      </c>
      <c r="U22" s="775">
        <f>H22</f>
        <v>100</v>
      </c>
      <c r="V22" s="774" t="s">
        <v>17</v>
      </c>
      <c r="W22" s="775">
        <f>J22</f>
        <v>100</v>
      </c>
      <c r="X22" s="1816"/>
      <c r="Y22" s="322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6"/>
      <c r="Q23" s="1813">
        <f>B23</f>
        <v>111</v>
      </c>
      <c r="R23" s="774" t="s">
        <v>17</v>
      </c>
      <c r="S23" s="775">
        <f>F23</f>
        <v>100</v>
      </c>
      <c r="T23" s="774" t="s">
        <v>17</v>
      </c>
      <c r="U23" s="775">
        <f>H23</f>
        <v>100</v>
      </c>
      <c r="V23" s="774" t="s">
        <v>17</v>
      </c>
      <c r="W23" s="775">
        <f>J23</f>
        <v>100</v>
      </c>
      <c r="X23" s="1816"/>
      <c r="Y23" s="322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6"/>
      <c r="Q24" s="1813">
        <f t="shared" ref="Q24:Q36" si="11">B24</f>
        <v>111</v>
      </c>
      <c r="R24" s="774" t="s">
        <v>17</v>
      </c>
      <c r="S24" s="775">
        <f>F24</f>
        <v>100</v>
      </c>
      <c r="T24" s="774" t="s">
        <v>17</v>
      </c>
      <c r="U24" s="775">
        <f>H24</f>
        <v>100</v>
      </c>
      <c r="V24" s="774" t="s">
        <v>17</v>
      </c>
      <c r="W24" s="775">
        <f>J24</f>
        <v>100</v>
      </c>
      <c r="X24" s="1816"/>
      <c r="Y24" s="322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6"/>
      <c r="Q25" s="1798">
        <f t="shared" si="11"/>
        <v>111</v>
      </c>
      <c r="R25" s="770" t="s">
        <v>17</v>
      </c>
      <c r="S25" s="771">
        <f>F25</f>
        <v>100</v>
      </c>
      <c r="T25" s="770" t="s">
        <v>17</v>
      </c>
      <c r="U25" s="771">
        <f>H25</f>
        <v>100</v>
      </c>
      <c r="V25" s="770" t="s">
        <v>17</v>
      </c>
      <c r="W25" s="771">
        <f>J25</f>
        <v>100</v>
      </c>
      <c r="X25" s="772"/>
      <c r="Y25" s="3226"/>
      <c r="Z25" s="55">
        <f>Q25</f>
        <v>111</v>
      </c>
      <c r="AA25" s="1814">
        <f>D25/F25</f>
        <v>1</v>
      </c>
      <c r="AB25" s="1814">
        <f>D25/H25</f>
        <v>1</v>
      </c>
      <c r="AC25" s="1814">
        <f>D25/J25</f>
        <v>1</v>
      </c>
    </row>
    <row r="26" spans="1:29" ht="15">
      <c r="A26" s="652" t="s">
        <v>2555</v>
      </c>
      <c r="B26" s="70" t="s">
        <v>2704</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8" t="s">
        <v>2557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0" t="s">
        <v>2557</v>
      </c>
      <c r="Z26" s="1817" t="str">
        <f t="shared" ref="Z26:Z36" si="15">Q26</f>
        <v>配套类型</v>
      </c>
      <c r="AA26" s="1814">
        <f t="shared" si="3"/>
        <v>1</v>
      </c>
      <c r="AB26" s="1814">
        <f t="shared" si="4"/>
        <v>1</v>
      </c>
      <c r="AC26" s="1814">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0"/>
      <c r="Q27" s="776" t="str">
        <f t="shared" si="11"/>
        <v>项目停车位配比</v>
      </c>
      <c r="R27" s="777" t="s">
        <v>17</v>
      </c>
      <c r="S27" s="778">
        <f t="shared" si="12"/>
        <v>100</v>
      </c>
      <c r="T27" s="777" t="s">
        <v>17</v>
      </c>
      <c r="U27" s="778">
        <f t="shared" si="13"/>
        <v>100</v>
      </c>
      <c r="V27" s="777" t="s">
        <v>17</v>
      </c>
      <c r="W27" s="778">
        <f t="shared" si="14"/>
        <v>100</v>
      </c>
      <c r="X27" s="779"/>
      <c r="Y27" s="3230"/>
      <c r="Z27" s="780" t="str">
        <f t="shared" si="15"/>
        <v>项目停车位配比</v>
      </c>
      <c r="AA27" s="1814">
        <f t="shared" si="3"/>
        <v>1</v>
      </c>
      <c r="AB27" s="1814">
        <f t="shared" si="4"/>
        <v>1</v>
      </c>
      <c r="AC27" s="1814">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0"/>
      <c r="Q28" s="1813" t="str">
        <f t="shared" si="11"/>
        <v>公共部分装修</v>
      </c>
      <c r="R28" s="774" t="s">
        <v>17</v>
      </c>
      <c r="S28" s="775">
        <f t="shared" si="12"/>
        <v>100</v>
      </c>
      <c r="T28" s="774" t="s">
        <v>17</v>
      </c>
      <c r="U28" s="775">
        <f t="shared" si="13"/>
        <v>100</v>
      </c>
      <c r="V28" s="774" t="s">
        <v>17</v>
      </c>
      <c r="W28" s="775">
        <f t="shared" si="14"/>
        <v>100</v>
      </c>
      <c r="X28" s="1816"/>
      <c r="Y28" s="3230"/>
      <c r="Z28" s="1817" t="str">
        <f t="shared" si="15"/>
        <v>公共部分装修</v>
      </c>
      <c r="AA28" s="1814">
        <f t="shared" si="3"/>
        <v>1</v>
      </c>
      <c r="AB28" s="1814">
        <f t="shared" si="4"/>
        <v>1</v>
      </c>
      <c r="AC28" s="1814">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0"/>
      <c r="Q29" s="1813" t="str">
        <f t="shared" si="11"/>
        <v>成新率</v>
      </c>
      <c r="R29" s="774" t="s">
        <v>17</v>
      </c>
      <c r="S29" s="775" t="e">
        <f t="shared" si="12"/>
        <v>#N/A</v>
      </c>
      <c r="T29" s="774" t="s">
        <v>17</v>
      </c>
      <c r="U29" s="775" t="e">
        <f t="shared" si="13"/>
        <v>#N/A</v>
      </c>
      <c r="V29" s="774" t="s">
        <v>17</v>
      </c>
      <c r="W29" s="775" t="e">
        <f t="shared" si="14"/>
        <v>#N/A</v>
      </c>
      <c r="X29" s="1816"/>
      <c r="Y29" s="3230"/>
      <c r="Z29" s="1817" t="str">
        <f t="shared" si="15"/>
        <v>成新率</v>
      </c>
      <c r="AA29" s="1814" t="e">
        <f t="shared" si="3"/>
        <v>#N/A</v>
      </c>
      <c r="AB29" s="1814" t="e">
        <f t="shared" si="4"/>
        <v>#N/A</v>
      </c>
      <c r="AC29" s="1814"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0"/>
      <c r="Q30" s="1813" t="str">
        <f t="shared" si="11"/>
        <v>物业等级</v>
      </c>
      <c r="R30" s="774" t="s">
        <v>17</v>
      </c>
      <c r="S30" s="775">
        <f t="shared" si="12"/>
        <v>100</v>
      </c>
      <c r="T30" s="774" t="s">
        <v>17</v>
      </c>
      <c r="U30" s="775">
        <f t="shared" si="13"/>
        <v>100</v>
      </c>
      <c r="V30" s="774" t="s">
        <v>17</v>
      </c>
      <c r="W30" s="775">
        <f t="shared" si="14"/>
        <v>100</v>
      </c>
      <c r="X30" s="1816"/>
      <c r="Y30" s="3230"/>
      <c r="Z30" s="1817" t="str">
        <f t="shared" si="15"/>
        <v>物业等级</v>
      </c>
      <c r="AA30" s="1814">
        <f t="shared" si="3"/>
        <v>1</v>
      </c>
      <c r="AB30" s="1814">
        <f t="shared" si="4"/>
        <v>1</v>
      </c>
      <c r="AC30" s="1814">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0"/>
      <c r="Q31" s="1798" t="str">
        <f t="shared" si="11"/>
        <v>停车位面积</v>
      </c>
      <c r="R31" s="770" t="s">
        <v>17</v>
      </c>
      <c r="S31" s="771" t="e">
        <f t="shared" si="12"/>
        <v>#N/A</v>
      </c>
      <c r="T31" s="770" t="s">
        <v>17</v>
      </c>
      <c r="U31" s="771" t="e">
        <f t="shared" si="13"/>
        <v>#N/A</v>
      </c>
      <c r="V31" s="770" t="s">
        <v>17</v>
      </c>
      <c r="W31" s="771" t="e">
        <f t="shared" si="14"/>
        <v>#N/A</v>
      </c>
      <c r="X31" s="772"/>
      <c r="Y31" s="3230"/>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0" t="s">
        <v>2557</v>
      </c>
      <c r="Q32" s="1813" t="str">
        <f t="shared" si="11"/>
        <v>车位类型</v>
      </c>
      <c r="R32" s="774" t="s">
        <v>17</v>
      </c>
      <c r="S32" s="775">
        <f t="shared" si="12"/>
        <v>100</v>
      </c>
      <c r="T32" s="774" t="s">
        <v>17</v>
      </c>
      <c r="U32" s="775">
        <f t="shared" si="13"/>
        <v>100</v>
      </c>
      <c r="V32" s="774" t="s">
        <v>17</v>
      </c>
      <c r="W32" s="775">
        <f t="shared" si="14"/>
        <v>100</v>
      </c>
      <c r="X32" s="1816"/>
      <c r="Y32" s="3230" t="s">
        <v>2557</v>
      </c>
      <c r="Z32" s="1817" t="str">
        <f t="shared" si="15"/>
        <v>车位类型</v>
      </c>
      <c r="AA32" s="1814">
        <f t="shared" si="3"/>
        <v>1</v>
      </c>
      <c r="AB32" s="1814">
        <f t="shared" si="4"/>
        <v>1</v>
      </c>
      <c r="AC32" s="1814">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0"/>
      <c r="Q33" s="1813" t="str">
        <f t="shared" si="11"/>
        <v>是否直接入户</v>
      </c>
      <c r="R33" s="774" t="s">
        <v>17</v>
      </c>
      <c r="S33" s="775">
        <f t="shared" si="12"/>
        <v>100</v>
      </c>
      <c r="T33" s="774" t="s">
        <v>17</v>
      </c>
      <c r="U33" s="775">
        <f t="shared" si="13"/>
        <v>100</v>
      </c>
      <c r="V33" s="774" t="s">
        <v>17</v>
      </c>
      <c r="W33" s="775">
        <f t="shared" si="14"/>
        <v>100</v>
      </c>
      <c r="X33" s="1816"/>
      <c r="Y33" s="323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0"/>
      <c r="Q34" s="1813">
        <f t="shared" si="11"/>
        <v>111</v>
      </c>
      <c r="R34" s="774" t="s">
        <v>17</v>
      </c>
      <c r="S34" s="775">
        <f t="shared" si="12"/>
        <v>100</v>
      </c>
      <c r="T34" s="774" t="s">
        <v>17</v>
      </c>
      <c r="U34" s="775">
        <f t="shared" si="13"/>
        <v>100</v>
      </c>
      <c r="V34" s="774" t="s">
        <v>17</v>
      </c>
      <c r="W34" s="775">
        <f t="shared" si="14"/>
        <v>100</v>
      </c>
      <c r="X34" s="1816"/>
      <c r="Y34" s="323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0"/>
      <c r="Q35" s="776">
        <f t="shared" si="11"/>
        <v>111</v>
      </c>
      <c r="R35" s="777" t="s">
        <v>17</v>
      </c>
      <c r="S35" s="778">
        <f t="shared" si="12"/>
        <v>100</v>
      </c>
      <c r="T35" s="777" t="s">
        <v>17</v>
      </c>
      <c r="U35" s="778">
        <f t="shared" si="13"/>
        <v>100</v>
      </c>
      <c r="V35" s="777" t="s">
        <v>17</v>
      </c>
      <c r="W35" s="778">
        <f t="shared" si="14"/>
        <v>100</v>
      </c>
      <c r="X35" s="779"/>
      <c r="Y35" s="323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0"/>
      <c r="Q36" s="1813">
        <f t="shared" si="11"/>
        <v>111</v>
      </c>
      <c r="R36" s="774" t="s">
        <v>17</v>
      </c>
      <c r="S36" s="775">
        <f t="shared" si="12"/>
        <v>100</v>
      </c>
      <c r="T36" s="774" t="s">
        <v>17</v>
      </c>
      <c r="U36" s="775">
        <f t="shared" si="13"/>
        <v>100</v>
      </c>
      <c r="V36" s="774" t="s">
        <v>17</v>
      </c>
      <c r="W36" s="775">
        <f t="shared" si="14"/>
        <v>100</v>
      </c>
      <c r="X36" s="1816"/>
      <c r="Y36" s="3230"/>
      <c r="Z36" s="1817">
        <f t="shared" si="15"/>
        <v>111</v>
      </c>
      <c r="AA36" s="1814">
        <f t="shared" si="3"/>
        <v>1</v>
      </c>
      <c r="AB36" s="1814">
        <f t="shared" si="4"/>
        <v>1</v>
      </c>
      <c r="AC36" s="1814">
        <f t="shared" si="5"/>
        <v>1</v>
      </c>
    </row>
    <row r="37" spans="1:29" ht="15">
      <c r="A37" s="479" t="s">
        <v>2712</v>
      </c>
      <c r="B37" s="2695" t="s">
        <v>2713</v>
      </c>
      <c r="C37" s="1410" t="s">
        <v>1</v>
      </c>
      <c r="D37" s="1411"/>
      <c r="E37" s="1412"/>
      <c r="F37" s="1413"/>
      <c r="G37" s="1414"/>
      <c r="H37" s="1415"/>
      <c r="I37" s="1412"/>
      <c r="J37" s="1415"/>
      <c r="K37" s="619"/>
      <c r="L37" s="1146"/>
      <c r="M37" s="1147"/>
      <c r="N37" s="1134"/>
      <c r="O37" s="1147"/>
      <c r="P37" s="3223" t="str">
        <f>A37</f>
        <v>成交单价</v>
      </c>
      <c r="Q37" s="3223"/>
      <c r="R37" s="3224">
        <f>E37</f>
        <v>0</v>
      </c>
      <c r="S37" s="3224"/>
      <c r="T37" s="3224">
        <f>G37</f>
        <v>0</v>
      </c>
      <c r="U37" s="3224"/>
      <c r="V37" s="3224">
        <f>I37</f>
        <v>0</v>
      </c>
      <c r="W37" s="3224"/>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220" t="str">
        <f>A39</f>
        <v>估价对象XX用房的比较价值（楼面单价，元/平方米）</v>
      </c>
      <c r="Q39" s="3221"/>
      <c r="R39" s="3222" t="e">
        <f>IF(F1="售价",ROUND(AVERAGE(R38:V38),0),ROUND(AVERAGE(R38:V38),1))</f>
        <v>#DIV/0!</v>
      </c>
      <c r="S39" s="3222"/>
      <c r="T39" s="3222"/>
      <c r="U39" s="3222"/>
      <c r="V39" s="3222"/>
      <c r="W39" s="322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33"/>
      <c r="F1" s="2586"/>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IF(C2="——",ROUND(C37*D3/10000,0),ROUND(C37*D3/10000,0)-D2)</f>
        <v>#DIV/0!</v>
      </c>
      <c r="C2" s="2588"/>
      <c r="D2" s="1127" t="e">
        <f ca="1">SUMIF(INDIRECT("'"&amp;F2&amp;"'"&amp;"!A:A"),"承租人权益价值",INDIRECT("'"&amp;F2&amp;"'"&amp;"!c:c"))</f>
        <v>#REF!</v>
      </c>
      <c r="E2" s="2589" t="s">
        <v>2320</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192" t="s">
        <v>2639</v>
      </c>
      <c r="S4" s="3193"/>
      <c r="T4" s="3192" t="s">
        <v>2640</v>
      </c>
      <c r="U4" s="3193"/>
      <c r="V4" s="3217" t="s">
        <v>2641</v>
      </c>
      <c r="W4" s="3217"/>
      <c r="X4" s="1816"/>
      <c r="Y4" s="3192" t="s">
        <v>2643</v>
      </c>
      <c r="Z4" s="3193"/>
      <c r="AA4" s="3187" t="s">
        <v>2639</v>
      </c>
      <c r="AB4" s="3188" t="s">
        <v>2640</v>
      </c>
      <c r="AC4" s="3187" t="s">
        <v>2641</v>
      </c>
    </row>
    <row r="5" spans="1:29" ht="15">
      <c r="A5" s="404"/>
      <c r="B5" s="405"/>
      <c r="C5" s="3262" t="s">
        <v>2534</v>
      </c>
      <c r="D5" s="3199"/>
      <c r="E5" s="3261" t="s">
        <v>2535</v>
      </c>
      <c r="F5" s="3197"/>
      <c r="G5" s="3262" t="s">
        <v>2536</v>
      </c>
      <c r="H5" s="3199"/>
      <c r="I5" s="3262" t="s">
        <v>2537</v>
      </c>
      <c r="J5" s="3199"/>
      <c r="K5" s="61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18" t="s">
        <v>2538</v>
      </c>
      <c r="D6" s="3201"/>
      <c r="E6" s="3202" t="s">
        <v>2538</v>
      </c>
      <c r="F6" s="3203"/>
      <c r="G6" s="3218" t="s">
        <v>2538</v>
      </c>
      <c r="H6" s="3201"/>
      <c r="I6" s="3218" t="s">
        <v>2538</v>
      </c>
      <c r="J6" s="3201"/>
      <c r="K6" s="610" t="s">
        <v>2539</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2540</v>
      </c>
      <c r="B7" s="409"/>
      <c r="C7" s="410">
        <f>'数据-取费表'!B2</f>
        <v>43430</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90" t="s">
        <v>2541</v>
      </c>
      <c r="Q7" s="3219"/>
      <c r="R7" s="770" t="s">
        <v>17</v>
      </c>
      <c r="S7" s="771">
        <f t="shared" ref="S7:S14" si="0">F7</f>
        <v>0</v>
      </c>
      <c r="T7" s="770" t="s">
        <v>17</v>
      </c>
      <c r="U7" s="771">
        <f t="shared" ref="U7:U14" si="1">H7</f>
        <v>0</v>
      </c>
      <c r="V7" s="770" t="s">
        <v>17</v>
      </c>
      <c r="W7" s="771">
        <f t="shared" ref="W7:W14" si="2">J7</f>
        <v>0</v>
      </c>
      <c r="X7" s="772"/>
      <c r="Y7" s="3190" t="s">
        <v>2541</v>
      </c>
      <c r="Z7" s="3191"/>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2544</v>
      </c>
      <c r="Q8" s="3191"/>
      <c r="R8" s="770" t="s">
        <v>17</v>
      </c>
      <c r="S8" s="771">
        <f t="shared" si="0"/>
        <v>0</v>
      </c>
      <c r="T8" s="770" t="s">
        <v>17</v>
      </c>
      <c r="U8" s="771">
        <f t="shared" si="1"/>
        <v>0</v>
      </c>
      <c r="V8" s="770" t="s">
        <v>17</v>
      </c>
      <c r="W8" s="771">
        <f t="shared" si="2"/>
        <v>0</v>
      </c>
      <c r="X8" s="772"/>
      <c r="Y8" s="3190" t="s">
        <v>2544</v>
      </c>
      <c r="Z8" s="3191"/>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3" t="s">
        <v>2547</v>
      </c>
      <c r="Q9" s="1798" t="str">
        <f t="shared" ref="Q9:Q14" si="6">B9</f>
        <v>用途</v>
      </c>
      <c r="R9" s="770" t="s">
        <v>17</v>
      </c>
      <c r="S9" s="771">
        <f t="shared" si="0"/>
        <v>100</v>
      </c>
      <c r="T9" s="770" t="s">
        <v>17</v>
      </c>
      <c r="U9" s="771">
        <f t="shared" si="1"/>
        <v>100</v>
      </c>
      <c r="V9" s="770" t="s">
        <v>17</v>
      </c>
      <c r="W9" s="771">
        <f t="shared" si="2"/>
        <v>100</v>
      </c>
      <c r="X9" s="772"/>
      <c r="Y9" s="3044"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3"/>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3"/>
      <c r="Q11" s="1798">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3"/>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23"/>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270.75">
      <c r="A14" s="440" t="s">
        <v>2551</v>
      </c>
      <c r="B14" s="69" t="s">
        <v>2701</v>
      </c>
      <c r="C14" s="2693" t="str">
        <f>IF(B1="工业",估价对象房地状况!G4,估价对象房地状况!C6)</f>
        <v>估价对象位于海淀区万柳地区，北距北四环西路约600米，周边路网较为密集，行车出入便捷。且项目及周边道路均设有停车场位，停车便捷。周边1公里范围内有481路、664路等公交线路，且地铁10号线巴沟站位于地块东北角，公交便捷度好。综上分析，估价对象所在区位整体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5" t="s">
        <v>2552</v>
      </c>
      <c r="Q14" s="1813" t="str">
        <f t="shared" si="6"/>
        <v>交通便捷度</v>
      </c>
      <c r="R14" s="774" t="s">
        <v>17</v>
      </c>
      <c r="S14" s="775">
        <f t="shared" si="0"/>
        <v>100</v>
      </c>
      <c r="T14" s="774" t="s">
        <v>17</v>
      </c>
      <c r="U14" s="775">
        <f t="shared" si="1"/>
        <v>100</v>
      </c>
      <c r="V14" s="774" t="s">
        <v>17</v>
      </c>
      <c r="W14" s="775">
        <f t="shared" si="2"/>
        <v>100</v>
      </c>
      <c r="X14" s="1816"/>
      <c r="Y14" s="3225" t="s">
        <v>2552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6"/>
      <c r="Q15" s="1813"/>
      <c r="R15" s="774"/>
      <c r="S15" s="775"/>
      <c r="T15" s="774"/>
      <c r="U15" s="775"/>
      <c r="V15" s="774"/>
      <c r="W15" s="775"/>
      <c r="X15" s="1816"/>
      <c r="Y15" s="3226"/>
      <c r="Z15" s="1817"/>
      <c r="AA15" s="1814">
        <v>1</v>
      </c>
      <c r="AB15" s="1814">
        <v>1</v>
      </c>
      <c r="AC15" s="1814">
        <v>1</v>
      </c>
    </row>
    <row r="16" spans="1:29" ht="213.75">
      <c r="A16" s="428"/>
      <c r="B16" s="451" t="s">
        <v>2680</v>
      </c>
      <c r="C16" s="2608" t="str">
        <f>IF(B1="工业",估价对象房地状况!G5,估价对象房地状况!C7)</f>
        <v>周边1.5公里内的公共服务配套设施较为齐备，有购物场所（北京华联万柳购物中心）、医院（北京市海淀区妇幼保健院）、银行（中国光大银行、浦发银行）、学校（北京市八一学校、万泉小学）、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6"/>
      <c r="Q16" s="1813" t="str">
        <f>B16</f>
        <v>公共配套设施</v>
      </c>
      <c r="R16" s="774" t="s">
        <v>17</v>
      </c>
      <c r="S16" s="775">
        <f>F16</f>
        <v>100</v>
      </c>
      <c r="T16" s="774" t="s">
        <v>17</v>
      </c>
      <c r="U16" s="775">
        <f>H16</f>
        <v>100</v>
      </c>
      <c r="V16" s="774" t="s">
        <v>17</v>
      </c>
      <c r="W16" s="775">
        <f>J16</f>
        <v>100</v>
      </c>
      <c r="X16" s="1816"/>
      <c r="Y16" s="3226"/>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226"/>
      <c r="Q17" s="1813"/>
      <c r="R17" s="774"/>
      <c r="S17" s="775"/>
      <c r="T17" s="774"/>
      <c r="U17" s="775"/>
      <c r="V17" s="774"/>
      <c r="W17" s="775"/>
      <c r="X17" s="1816"/>
      <c r="Y17" s="3226"/>
      <c r="Z17" s="1817"/>
      <c r="AA17" s="1814">
        <v>1</v>
      </c>
      <c r="AB17" s="1814">
        <v>1</v>
      </c>
      <c r="AC17" s="1814">
        <v>1</v>
      </c>
    </row>
    <row r="18" spans="1:29" ht="42.75">
      <c r="A18" s="428"/>
      <c r="B18" s="1387" t="s">
        <v>2681</v>
      </c>
      <c r="C18" s="2608"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6"/>
      <c r="Q18" s="1813" t="str">
        <f>B18</f>
        <v>基础设施水平</v>
      </c>
      <c r="R18" s="774" t="s">
        <v>17</v>
      </c>
      <c r="S18" s="775">
        <f>F18</f>
        <v>100</v>
      </c>
      <c r="T18" s="774" t="s">
        <v>17</v>
      </c>
      <c r="U18" s="775">
        <f>H18</f>
        <v>100</v>
      </c>
      <c r="V18" s="774" t="s">
        <v>17</v>
      </c>
      <c r="W18" s="775">
        <f>J18</f>
        <v>100</v>
      </c>
      <c r="X18" s="1816"/>
      <c r="Y18" s="3226"/>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226"/>
      <c r="Q19" s="1813"/>
      <c r="R19" s="774"/>
      <c r="S19" s="775"/>
      <c r="T19" s="774"/>
      <c r="U19" s="775"/>
      <c r="V19" s="774"/>
      <c r="W19" s="775"/>
      <c r="X19" s="1816"/>
      <c r="Y19" s="3226"/>
      <c r="Z19" s="1817"/>
      <c r="AA19" s="1814">
        <v>1</v>
      </c>
      <c r="AB19" s="1814">
        <v>1</v>
      </c>
      <c r="AC19" s="1814">
        <v>1</v>
      </c>
    </row>
    <row r="20" spans="1:29" ht="156.75">
      <c r="A20" s="428"/>
      <c r="B20" s="451" t="s">
        <v>2702</v>
      </c>
      <c r="C20" s="2608" t="str">
        <f>IF(B1="工业",估价对象房地状况!G7,估价对象房地状况!C9)</f>
        <v>估价对象所在区域有2公里范围内有海淀公园、巴沟山水园等自然景观；人文环境：多家幼儿园及北京市八一中学、中国人民大学等，人文环境好；综合评价环境状况较好。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6"/>
      <c r="Q20" s="1813" t="str">
        <f>B20</f>
        <v>自然及人文环境</v>
      </c>
      <c r="R20" s="774" t="s">
        <v>17</v>
      </c>
      <c r="S20" s="775">
        <f>F20</f>
        <v>100</v>
      </c>
      <c r="T20" s="774" t="s">
        <v>17</v>
      </c>
      <c r="U20" s="775">
        <f>H20</f>
        <v>100</v>
      </c>
      <c r="V20" s="774" t="s">
        <v>17</v>
      </c>
      <c r="W20" s="775">
        <f>J20</f>
        <v>100</v>
      </c>
      <c r="X20" s="1816"/>
      <c r="Y20" s="322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6"/>
      <c r="Q21" s="1813"/>
      <c r="R21" s="774"/>
      <c r="S21" s="775"/>
      <c r="T21" s="774"/>
      <c r="U21" s="775"/>
      <c r="V21" s="774"/>
      <c r="W21" s="775"/>
      <c r="X21" s="1816"/>
      <c r="Y21" s="3226"/>
      <c r="Z21" s="1817"/>
      <c r="AA21" s="1814">
        <v>1</v>
      </c>
      <c r="AB21" s="1814">
        <v>1</v>
      </c>
      <c r="AC21" s="1814">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6"/>
      <c r="Q22" s="1813" t="str">
        <f>B22</f>
        <v>楼层</v>
      </c>
      <c r="R22" s="774" t="s">
        <v>17</v>
      </c>
      <c r="S22" s="775">
        <f>F22</f>
        <v>100</v>
      </c>
      <c r="T22" s="774" t="s">
        <v>17</v>
      </c>
      <c r="U22" s="775">
        <f>H22</f>
        <v>100</v>
      </c>
      <c r="V22" s="774" t="s">
        <v>17</v>
      </c>
      <c r="W22" s="775">
        <f>J22</f>
        <v>100</v>
      </c>
      <c r="X22" s="1816"/>
      <c r="Y22" s="3226"/>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6"/>
      <c r="Q23" s="1813">
        <f>B23</f>
        <v>111</v>
      </c>
      <c r="R23" s="774" t="s">
        <v>17</v>
      </c>
      <c r="S23" s="775">
        <f>F23</f>
        <v>100</v>
      </c>
      <c r="T23" s="774" t="s">
        <v>17</v>
      </c>
      <c r="U23" s="775">
        <f>H23</f>
        <v>100</v>
      </c>
      <c r="V23" s="774" t="s">
        <v>17</v>
      </c>
      <c r="W23" s="775">
        <f>J23</f>
        <v>100</v>
      </c>
      <c r="X23" s="1816"/>
      <c r="Y23" s="3226"/>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6"/>
      <c r="Q24" s="1813">
        <f t="shared" ref="Q24:Q34" si="11">B24</f>
        <v>111</v>
      </c>
      <c r="R24" s="774" t="s">
        <v>17</v>
      </c>
      <c r="S24" s="775">
        <f>F24</f>
        <v>100</v>
      </c>
      <c r="T24" s="774" t="s">
        <v>17</v>
      </c>
      <c r="U24" s="775">
        <f>H24</f>
        <v>100</v>
      </c>
      <c r="V24" s="774" t="s">
        <v>17</v>
      </c>
      <c r="W24" s="775">
        <f>J24</f>
        <v>100</v>
      </c>
      <c r="X24" s="1816"/>
      <c r="Y24" s="3226"/>
      <c r="Z24" s="1817">
        <f>Q24</f>
        <v>111</v>
      </c>
      <c r="AA24" s="1814">
        <f t="shared" si="3"/>
        <v>1</v>
      </c>
      <c r="AB24" s="1814">
        <f t="shared" si="4"/>
        <v>1</v>
      </c>
      <c r="AC24" s="1814">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26"/>
      <c r="Q25" s="1798">
        <f t="shared" si="11"/>
        <v>111</v>
      </c>
      <c r="R25" s="770" t="s">
        <v>17</v>
      </c>
      <c r="S25" s="771">
        <f>F25</f>
        <v>100</v>
      </c>
      <c r="T25" s="770" t="s">
        <v>17</v>
      </c>
      <c r="U25" s="771">
        <f>H25</f>
        <v>100</v>
      </c>
      <c r="V25" s="770" t="s">
        <v>17</v>
      </c>
      <c r="W25" s="771">
        <f>J25</f>
        <v>100</v>
      </c>
      <c r="X25" s="772"/>
      <c r="Y25" s="3226"/>
      <c r="Z25" s="55">
        <f>Q25</f>
        <v>111</v>
      </c>
      <c r="AA25" s="1814">
        <f>D25/F25</f>
        <v>1</v>
      </c>
      <c r="AB25" s="1814">
        <f>D25/H25</f>
        <v>1</v>
      </c>
      <c r="AC25" s="1814">
        <f>D25/J25</f>
        <v>1</v>
      </c>
    </row>
    <row r="26" spans="1:29" ht="15">
      <c r="A26" s="466" t="s">
        <v>2555</v>
      </c>
      <c r="B26" s="71" t="s">
        <v>2706</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78" t="s">
        <v>2557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0" t="s">
        <v>2557</v>
      </c>
      <c r="Z26" s="1817" t="str">
        <f t="shared" ref="Z26:Z34" si="15">Q26</f>
        <v>公共部分装修</v>
      </c>
      <c r="AA26" s="1814">
        <f t="shared" si="3"/>
        <v>1</v>
      </c>
      <c r="AB26" s="1814">
        <f t="shared" si="4"/>
        <v>1</v>
      </c>
      <c r="AC26" s="1814">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0"/>
      <c r="Q27" s="776" t="str">
        <f t="shared" si="11"/>
        <v>成新率</v>
      </c>
      <c r="R27" s="777" t="s">
        <v>17</v>
      </c>
      <c r="S27" s="778" t="e">
        <f t="shared" si="12"/>
        <v>#N/A</v>
      </c>
      <c r="T27" s="777" t="s">
        <v>17</v>
      </c>
      <c r="U27" s="778" t="e">
        <f t="shared" si="13"/>
        <v>#N/A</v>
      </c>
      <c r="V27" s="777" t="s">
        <v>17</v>
      </c>
      <c r="W27" s="778" t="e">
        <f t="shared" si="14"/>
        <v>#N/A</v>
      </c>
      <c r="X27" s="779"/>
      <c r="Y27" s="3230"/>
      <c r="Z27" s="780" t="str">
        <f t="shared" si="15"/>
        <v>成新率</v>
      </c>
      <c r="AA27" s="1814" t="e">
        <f t="shared" si="3"/>
        <v>#N/A</v>
      </c>
      <c r="AB27" s="1814" t="e">
        <f t="shared" si="4"/>
        <v>#N/A</v>
      </c>
      <c r="AC27" s="1814"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0"/>
      <c r="Q28" s="1813" t="str">
        <f t="shared" si="11"/>
        <v>物业等级</v>
      </c>
      <c r="R28" s="774" t="s">
        <v>17</v>
      </c>
      <c r="S28" s="775">
        <f t="shared" si="12"/>
        <v>100</v>
      </c>
      <c r="T28" s="774" t="s">
        <v>17</v>
      </c>
      <c r="U28" s="775">
        <f t="shared" si="13"/>
        <v>100</v>
      </c>
      <c r="V28" s="774" t="s">
        <v>17</v>
      </c>
      <c r="W28" s="775">
        <f t="shared" si="14"/>
        <v>100</v>
      </c>
      <c r="X28" s="1816"/>
      <c r="Y28" s="3230"/>
      <c r="Z28" s="1817" t="str">
        <f t="shared" si="15"/>
        <v>物业等级</v>
      </c>
      <c r="AA28" s="1814">
        <f t="shared" si="3"/>
        <v>1</v>
      </c>
      <c r="AB28" s="1814">
        <f t="shared" si="4"/>
        <v>1</v>
      </c>
      <c r="AC28" s="1814">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0"/>
      <c r="Q29" s="1813" t="str">
        <f t="shared" si="11"/>
        <v>有无电梯</v>
      </c>
      <c r="R29" s="774" t="s">
        <v>17</v>
      </c>
      <c r="S29" s="775">
        <f t="shared" si="12"/>
        <v>100</v>
      </c>
      <c r="T29" s="774" t="s">
        <v>17</v>
      </c>
      <c r="U29" s="775">
        <f t="shared" si="13"/>
        <v>100</v>
      </c>
      <c r="V29" s="774" t="s">
        <v>17</v>
      </c>
      <c r="W29" s="775">
        <f t="shared" si="14"/>
        <v>100</v>
      </c>
      <c r="X29" s="1816"/>
      <c r="Y29" s="3230"/>
      <c r="Z29" s="1817" t="str">
        <f t="shared" si="15"/>
        <v>有无电梯</v>
      </c>
      <c r="AA29" s="1814">
        <f t="shared" si="3"/>
        <v>1</v>
      </c>
      <c r="AB29" s="1814">
        <f t="shared" si="4"/>
        <v>1</v>
      </c>
      <c r="AC29" s="1814">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0"/>
      <c r="Q30" s="1813" t="str">
        <f t="shared" si="11"/>
        <v>建筑面积</v>
      </c>
      <c r="R30" s="774" t="s">
        <v>17</v>
      </c>
      <c r="S30" s="775" t="e">
        <f t="shared" si="12"/>
        <v>#N/A</v>
      </c>
      <c r="T30" s="774" t="s">
        <v>17</v>
      </c>
      <c r="U30" s="775" t="e">
        <f t="shared" si="13"/>
        <v>#N/A</v>
      </c>
      <c r="V30" s="774" t="s">
        <v>17</v>
      </c>
      <c r="W30" s="775" t="e">
        <f t="shared" si="14"/>
        <v>#N/A</v>
      </c>
      <c r="X30" s="1816"/>
      <c r="Y30" s="3230"/>
      <c r="Z30" s="1817" t="str">
        <f t="shared" si="15"/>
        <v>建筑面积</v>
      </c>
      <c r="AA30" s="1814" t="e">
        <f t="shared" si="3"/>
        <v>#N/A</v>
      </c>
      <c r="AB30" s="1814" t="e">
        <f t="shared" si="4"/>
        <v>#N/A</v>
      </c>
      <c r="AC30" s="1814"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0"/>
      <c r="Q31" s="1798" t="str">
        <f t="shared" si="11"/>
        <v>是否封闭</v>
      </c>
      <c r="R31" s="770" t="s">
        <v>17</v>
      </c>
      <c r="S31" s="771">
        <f t="shared" si="12"/>
        <v>100</v>
      </c>
      <c r="T31" s="770" t="s">
        <v>17</v>
      </c>
      <c r="U31" s="771">
        <f t="shared" si="13"/>
        <v>100</v>
      </c>
      <c r="V31" s="770" t="s">
        <v>17</v>
      </c>
      <c r="W31" s="771">
        <f t="shared" si="14"/>
        <v>100</v>
      </c>
      <c r="X31" s="772"/>
      <c r="Y31" s="3230"/>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0" t="s">
        <v>2557</v>
      </c>
      <c r="Q32" s="1813">
        <f t="shared" si="11"/>
        <v>111</v>
      </c>
      <c r="R32" s="774" t="s">
        <v>17</v>
      </c>
      <c r="S32" s="775">
        <f t="shared" si="12"/>
        <v>100</v>
      </c>
      <c r="T32" s="774" t="s">
        <v>17</v>
      </c>
      <c r="U32" s="775">
        <f t="shared" si="13"/>
        <v>100</v>
      </c>
      <c r="V32" s="774" t="s">
        <v>17</v>
      </c>
      <c r="W32" s="775">
        <f t="shared" si="14"/>
        <v>100</v>
      </c>
      <c r="X32" s="1816"/>
      <c r="Y32" s="3230" t="s">
        <v>2557</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0"/>
      <c r="Q33" s="1813">
        <f t="shared" si="11"/>
        <v>111</v>
      </c>
      <c r="R33" s="774" t="s">
        <v>17</v>
      </c>
      <c r="S33" s="775">
        <f t="shared" si="12"/>
        <v>100</v>
      </c>
      <c r="T33" s="774" t="s">
        <v>17</v>
      </c>
      <c r="U33" s="775">
        <f t="shared" si="13"/>
        <v>100</v>
      </c>
      <c r="V33" s="774" t="s">
        <v>17</v>
      </c>
      <c r="W33" s="775">
        <f t="shared" si="14"/>
        <v>100</v>
      </c>
      <c r="X33" s="1816"/>
      <c r="Y33" s="3230"/>
      <c r="Z33" s="1817">
        <f t="shared" si="15"/>
        <v>111</v>
      </c>
      <c r="AA33" s="1814">
        <f t="shared" si="3"/>
        <v>1</v>
      </c>
      <c r="AB33" s="1814">
        <f t="shared" si="4"/>
        <v>1</v>
      </c>
      <c r="AC33" s="1814">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30"/>
      <c r="Q34" s="1813">
        <f t="shared" si="11"/>
        <v>111</v>
      </c>
      <c r="R34" s="774" t="s">
        <v>17</v>
      </c>
      <c r="S34" s="775">
        <f t="shared" si="12"/>
        <v>100</v>
      </c>
      <c r="T34" s="774" t="s">
        <v>17</v>
      </c>
      <c r="U34" s="775">
        <f t="shared" si="13"/>
        <v>100</v>
      </c>
      <c r="V34" s="774" t="s">
        <v>17</v>
      </c>
      <c r="W34" s="775">
        <f t="shared" si="14"/>
        <v>100</v>
      </c>
      <c r="X34" s="1816"/>
      <c r="Y34" s="3230"/>
      <c r="Z34" s="1817">
        <f t="shared" si="15"/>
        <v>111</v>
      </c>
      <c r="AA34" s="1814">
        <f t="shared" si="3"/>
        <v>1</v>
      </c>
      <c r="AB34" s="1814">
        <f t="shared" si="4"/>
        <v>1</v>
      </c>
      <c r="AC34" s="1814">
        <f t="shared" si="5"/>
        <v>1</v>
      </c>
    </row>
    <row r="35" spans="1:29" ht="15">
      <c r="A35" s="479" t="s">
        <v>2569</v>
      </c>
      <c r="B35" s="480"/>
      <c r="C35" s="1410" t="s">
        <v>1</v>
      </c>
      <c r="D35" s="1411"/>
      <c r="E35" s="1412"/>
      <c r="F35" s="1413"/>
      <c r="G35" s="1414"/>
      <c r="H35" s="1415"/>
      <c r="I35" s="1412"/>
      <c r="J35" s="1415"/>
      <c r="K35" s="783"/>
      <c r="L35" s="1146"/>
      <c r="M35" s="1147"/>
      <c r="N35" s="1134"/>
      <c r="O35" s="1147"/>
      <c r="P35" s="3223" t="str">
        <f>A35</f>
        <v>成交单价（元/平方米）</v>
      </c>
      <c r="Q35" s="3223"/>
      <c r="R35" s="3224">
        <f>E35</f>
        <v>0</v>
      </c>
      <c r="S35" s="3224"/>
      <c r="T35" s="3224">
        <f>G35</f>
        <v>0</v>
      </c>
      <c r="U35" s="3224"/>
      <c r="V35" s="3224">
        <f>I35</f>
        <v>0</v>
      </c>
      <c r="W35" s="3224"/>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220" t="str">
        <f>A37</f>
        <v>估价对象XX用房的比较价值（楼面单价，元/平方米）</v>
      </c>
      <c r="Q37" s="3221"/>
      <c r="R37" s="3222" t="e">
        <f>IF(F1="售价",ROUND(AVERAGE(R36:V36),0),ROUND(AVERAGE(R36:V36),1))</f>
        <v>#DIV/0!</v>
      </c>
      <c r="S37" s="3222"/>
      <c r="T37" s="3222"/>
      <c r="U37" s="3222"/>
      <c r="V37" s="3222"/>
      <c r="W37" s="322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192" t="s">
        <v>2639</v>
      </c>
      <c r="S4" s="3193"/>
      <c r="T4" s="3192" t="s">
        <v>2640</v>
      </c>
      <c r="U4" s="3193"/>
      <c r="V4" s="3217" t="s">
        <v>2641</v>
      </c>
      <c r="W4" s="3217"/>
      <c r="X4" s="1816"/>
      <c r="Y4" s="3192" t="s">
        <v>2643</v>
      </c>
      <c r="Z4" s="3193"/>
      <c r="AA4" s="3187" t="s">
        <v>2639</v>
      </c>
      <c r="AB4" s="3188" t="s">
        <v>2640</v>
      </c>
      <c r="AC4" s="3187" t="s">
        <v>2641</v>
      </c>
    </row>
    <row r="5" spans="1:30" ht="15">
      <c r="A5" s="404"/>
      <c r="B5" s="405"/>
      <c r="C5" s="3262" t="s">
        <v>2534</v>
      </c>
      <c r="D5" s="3199"/>
      <c r="E5" s="3261" t="s">
        <v>2535</v>
      </c>
      <c r="F5" s="3197"/>
      <c r="G5" s="3262" t="s">
        <v>2536</v>
      </c>
      <c r="H5" s="3199"/>
      <c r="I5" s="3262" t="s">
        <v>2537</v>
      </c>
      <c r="J5" s="3199"/>
      <c r="K5" s="610"/>
      <c r="L5" s="1133"/>
      <c r="M5" s="1134"/>
      <c r="N5" s="1134"/>
      <c r="O5" s="1134"/>
      <c r="P5" s="3211"/>
      <c r="Q5" s="3212"/>
      <c r="R5" s="3194"/>
      <c r="S5" s="3195"/>
      <c r="T5" s="3194"/>
      <c r="U5" s="3195"/>
      <c r="V5" s="3217"/>
      <c r="W5" s="3217"/>
      <c r="X5" s="1816"/>
      <c r="Y5" s="3194"/>
      <c r="Z5" s="3195"/>
      <c r="AA5" s="3188"/>
      <c r="AB5" s="3188"/>
      <c r="AC5" s="3188"/>
    </row>
    <row r="6" spans="1:30" ht="15.75" thickBot="1">
      <c r="A6" s="406"/>
      <c r="B6" s="407"/>
      <c r="C6" s="3218" t="s">
        <v>2538</v>
      </c>
      <c r="D6" s="3201"/>
      <c r="E6" s="3202" t="s">
        <v>2538</v>
      </c>
      <c r="F6" s="3203"/>
      <c r="G6" s="3218" t="s">
        <v>2538</v>
      </c>
      <c r="H6" s="3201"/>
      <c r="I6" s="3218" t="s">
        <v>2538</v>
      </c>
      <c r="J6" s="3201"/>
      <c r="K6" s="610" t="s">
        <v>2539</v>
      </c>
      <c r="L6" s="1133"/>
      <c r="M6" s="1134"/>
      <c r="N6" s="1134"/>
      <c r="O6" s="1134"/>
      <c r="P6" s="3213"/>
      <c r="Q6" s="3214"/>
      <c r="R6" s="3194"/>
      <c r="S6" s="3195"/>
      <c r="T6" s="3215"/>
      <c r="U6" s="3216"/>
      <c r="V6" s="3217"/>
      <c r="W6" s="3217"/>
      <c r="X6" s="1816"/>
      <c r="Y6" s="3215"/>
      <c r="Z6" s="3216"/>
      <c r="AA6" s="3189"/>
      <c r="AB6" s="3189"/>
      <c r="AC6" s="3189"/>
    </row>
    <row r="7" spans="1:30" s="117" customFormat="1" ht="15.75" thickBot="1">
      <c r="A7" s="408" t="s">
        <v>2540</v>
      </c>
      <c r="B7" s="409"/>
      <c r="C7" s="410">
        <f>'数据-取费表'!B2</f>
        <v>43430</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190" t="s">
        <v>2541</v>
      </c>
      <c r="Q7" s="3219"/>
      <c r="R7" s="770" t="s">
        <v>17</v>
      </c>
      <c r="S7" s="771">
        <f t="shared" ref="S7:S15" si="0">F7</f>
        <v>0</v>
      </c>
      <c r="T7" s="770" t="s">
        <v>17</v>
      </c>
      <c r="U7" s="771">
        <f t="shared" ref="U7:U15" si="1">H7</f>
        <v>0</v>
      </c>
      <c r="V7" s="770" t="s">
        <v>17</v>
      </c>
      <c r="W7" s="771">
        <f t="shared" ref="W7:W15" si="2">J7</f>
        <v>0</v>
      </c>
      <c r="X7" s="772"/>
      <c r="Y7" s="3190" t="s">
        <v>2541</v>
      </c>
      <c r="Z7" s="3191"/>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0" t="s">
        <v>2544</v>
      </c>
      <c r="Q8" s="3191"/>
      <c r="R8" s="770" t="s">
        <v>17</v>
      </c>
      <c r="S8" s="771">
        <f t="shared" si="0"/>
        <v>0</v>
      </c>
      <c r="T8" s="770" t="s">
        <v>17</v>
      </c>
      <c r="U8" s="771">
        <f t="shared" si="1"/>
        <v>0</v>
      </c>
      <c r="V8" s="770" t="s">
        <v>17</v>
      </c>
      <c r="W8" s="771">
        <f t="shared" si="2"/>
        <v>0</v>
      </c>
      <c r="X8" s="772"/>
      <c r="Y8" s="3190" t="s">
        <v>2544</v>
      </c>
      <c r="Z8" s="3191"/>
      <c r="AA8" s="773" t="e">
        <f t="shared" ref="AA8:AA45" si="3">D8/F8</f>
        <v>#DIV/0!</v>
      </c>
      <c r="AB8" s="773" t="e">
        <f t="shared" ref="AB8:AB45" si="4">D8/H8</f>
        <v>#DIV/0!</v>
      </c>
      <c r="AC8" s="773" t="e">
        <f t="shared" ref="AC8:AC45" si="5">D8/J8</f>
        <v>#DIV/0!</v>
      </c>
    </row>
    <row r="9" spans="1:30" s="117" customFormat="1">
      <c r="A9" s="415" t="s">
        <v>2545</v>
      </c>
      <c r="B9" s="71" t="s">
        <v>2546</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223" t="s">
        <v>2547</v>
      </c>
      <c r="Q9" s="1798" t="str">
        <f t="shared" ref="Q9:Q15" si="6">B9</f>
        <v>用途</v>
      </c>
      <c r="R9" s="770" t="s">
        <v>17</v>
      </c>
      <c r="S9" s="771">
        <f t="shared" si="0"/>
        <v>100</v>
      </c>
      <c r="T9" s="770" t="s">
        <v>17</v>
      </c>
      <c r="U9" s="771">
        <f t="shared" si="1"/>
        <v>100</v>
      </c>
      <c r="V9" s="770" t="s">
        <v>17</v>
      </c>
      <c r="W9" s="771">
        <f t="shared" si="2"/>
        <v>100</v>
      </c>
      <c r="X9" s="772"/>
      <c r="Y9" s="3044"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102</v>
      </c>
      <c r="G10" s="463"/>
      <c r="H10" s="136">
        <f>ROUND(100/'数据-取费表'!G16,0)</f>
        <v>102</v>
      </c>
      <c r="I10" s="463"/>
      <c r="J10" s="136">
        <f>ROUND(100/'数据-取费表'!G16,0)</f>
        <v>102</v>
      </c>
      <c r="K10" s="672"/>
      <c r="L10" s="1138"/>
      <c r="M10" s="1139"/>
      <c r="N10" s="1139"/>
      <c r="O10" s="1140"/>
      <c r="P10" s="3223"/>
      <c r="Q10" s="1798" t="str">
        <f t="shared" si="6"/>
        <v>土地使用年限（年）</v>
      </c>
      <c r="R10" s="770" t="s">
        <v>17</v>
      </c>
      <c r="S10" s="771">
        <f t="shared" si="0"/>
        <v>102</v>
      </c>
      <c r="T10" s="770" t="s">
        <v>17</v>
      </c>
      <c r="U10" s="771">
        <f t="shared" si="1"/>
        <v>102</v>
      </c>
      <c r="V10" s="770" t="s">
        <v>17</v>
      </c>
      <c r="W10" s="771">
        <f t="shared" si="2"/>
        <v>102</v>
      </c>
      <c r="X10" s="772"/>
      <c r="Y10" s="3044"/>
      <c r="Z10" s="55" t="str">
        <f t="shared" si="7"/>
        <v>土地使用年限（年）</v>
      </c>
      <c r="AA10" s="773">
        <f t="shared" si="3"/>
        <v>0.98039215686274506</v>
      </c>
      <c r="AB10" s="773">
        <f t="shared" si="4"/>
        <v>0.98039215686274506</v>
      </c>
      <c r="AC10" s="773">
        <f t="shared" si="5"/>
        <v>0.98039215686274506</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3"/>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30" s="117" customFormat="1" ht="15">
      <c r="A12" s="431"/>
      <c r="B12" s="2601" t="s">
        <v>2739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3"/>
      <c r="Q12" s="1798" t="str">
        <f t="shared" si="6"/>
        <v>配建</v>
      </c>
      <c r="R12" s="770" t="s">
        <v>17</v>
      </c>
      <c r="S12" s="771">
        <f t="shared" si="0"/>
        <v>100</v>
      </c>
      <c r="T12" s="770" t="s">
        <v>17</v>
      </c>
      <c r="U12" s="771">
        <f t="shared" si="1"/>
        <v>100</v>
      </c>
      <c r="V12" s="770" t="s">
        <v>17</v>
      </c>
      <c r="W12" s="771">
        <f t="shared" si="2"/>
        <v>100</v>
      </c>
      <c r="X12" s="772"/>
      <c r="Y12" s="3044"/>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3"/>
      <c r="Q13" s="1798">
        <f t="shared" si="6"/>
        <v>111</v>
      </c>
      <c r="R13" s="770" t="s">
        <v>17</v>
      </c>
      <c r="S13" s="771">
        <f t="shared" si="0"/>
        <v>100</v>
      </c>
      <c r="T13" s="770" t="s">
        <v>17</v>
      </c>
      <c r="U13" s="771">
        <f t="shared" si="1"/>
        <v>100</v>
      </c>
      <c r="V13" s="770" t="s">
        <v>17</v>
      </c>
      <c r="W13" s="771">
        <f t="shared" si="2"/>
        <v>100</v>
      </c>
      <c r="X13" s="772"/>
      <c r="Y13" s="3044"/>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3"/>
      <c r="Q14" s="1798">
        <f t="shared" si="6"/>
        <v>111</v>
      </c>
      <c r="R14" s="770" t="s">
        <v>17</v>
      </c>
      <c r="S14" s="771">
        <f t="shared" si="0"/>
        <v>100</v>
      </c>
      <c r="T14" s="770" t="s">
        <v>17</v>
      </c>
      <c r="U14" s="771">
        <f t="shared" si="1"/>
        <v>100</v>
      </c>
      <c r="V14" s="770" t="s">
        <v>17</v>
      </c>
      <c r="W14" s="771">
        <f t="shared" si="2"/>
        <v>100</v>
      </c>
      <c r="X14" s="772"/>
      <c r="Y14" s="3044"/>
      <c r="Z14" s="55">
        <f t="shared" si="7"/>
        <v>111</v>
      </c>
      <c r="AA14" s="773">
        <f>D14/F14</f>
        <v>1</v>
      </c>
      <c r="AB14" s="773">
        <f>D14/H14</f>
        <v>1</v>
      </c>
      <c r="AC14" s="773">
        <f>D14/J14</f>
        <v>1</v>
      </c>
    </row>
    <row r="15" spans="1:30" ht="156.75">
      <c r="A15" s="440" t="s">
        <v>2551</v>
      </c>
      <c r="B15" s="69" t="s">
        <v>2085</v>
      </c>
      <c r="C15" s="2604" t="str">
        <f>估价对象房地状况!C15</f>
        <v>估价对象周边居住用地比例较大，分布有万泉新新家园、万柳华府、万柳星标家园等居住社区。区域内社区配套完善程度好、入住率较高，综合考虑居住社区成熟度较好。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5" t="s">
        <v>2552</v>
      </c>
      <c r="Q15" s="1813" t="str">
        <f t="shared" si="6"/>
        <v>居住社区成熟度</v>
      </c>
      <c r="R15" s="774" t="s">
        <v>17</v>
      </c>
      <c r="S15" s="775">
        <f t="shared" si="0"/>
        <v>100</v>
      </c>
      <c r="T15" s="774" t="s">
        <v>17</v>
      </c>
      <c r="U15" s="775">
        <f t="shared" si="1"/>
        <v>100</v>
      </c>
      <c r="V15" s="774" t="s">
        <v>17</v>
      </c>
      <c r="W15" s="775">
        <f t="shared" si="2"/>
        <v>100</v>
      </c>
      <c r="X15" s="1816"/>
      <c r="Y15" s="3225" t="s">
        <v>2552</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226"/>
      <c r="Q16" s="1813"/>
      <c r="R16" s="774"/>
      <c r="S16" s="775"/>
      <c r="T16" s="774"/>
      <c r="U16" s="775"/>
      <c r="V16" s="774"/>
      <c r="W16" s="775"/>
      <c r="X16" s="1816"/>
      <c r="Y16" s="3226"/>
      <c r="Z16" s="1817"/>
      <c r="AA16" s="1814">
        <v>1</v>
      </c>
      <c r="AB16" s="1814">
        <v>1</v>
      </c>
      <c r="AC16" s="1814">
        <v>1</v>
      </c>
    </row>
    <row r="17" spans="1:29" ht="15">
      <c r="A17" s="428"/>
      <c r="B17" s="451" t="s">
        <v>2645</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6"/>
      <c r="Q17" s="1813" t="str">
        <f>B17</f>
        <v>商业繁华度</v>
      </c>
      <c r="R17" s="774" t="s">
        <v>17</v>
      </c>
      <c r="S17" s="775">
        <f>F17</f>
        <v>100</v>
      </c>
      <c r="T17" s="774" t="s">
        <v>17</v>
      </c>
      <c r="U17" s="775">
        <f>H17</f>
        <v>100</v>
      </c>
      <c r="V17" s="774" t="s">
        <v>17</v>
      </c>
      <c r="W17" s="775">
        <f>J17</f>
        <v>100</v>
      </c>
      <c r="X17" s="1816"/>
      <c r="Y17" s="3226"/>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226"/>
      <c r="Q18" s="1813"/>
      <c r="R18" s="774"/>
      <c r="S18" s="775"/>
      <c r="T18" s="774"/>
      <c r="U18" s="775"/>
      <c r="V18" s="774"/>
      <c r="W18" s="775"/>
      <c r="X18" s="1816"/>
      <c r="Y18" s="3226"/>
      <c r="Z18" s="1817"/>
      <c r="AA18" s="1814">
        <v>1</v>
      </c>
      <c r="AB18" s="1814">
        <v>1</v>
      </c>
      <c r="AC18" s="1814">
        <v>1</v>
      </c>
    </row>
    <row r="19" spans="1:29" ht="15">
      <c r="A19" s="428"/>
      <c r="B19" s="451" t="s">
        <v>2679</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6"/>
      <c r="Q19" s="1813" t="str">
        <f>B19</f>
        <v>办公集聚程度</v>
      </c>
      <c r="R19" s="774" t="s">
        <v>17</v>
      </c>
      <c r="S19" s="775">
        <f>F19</f>
        <v>100</v>
      </c>
      <c r="T19" s="774" t="s">
        <v>17</v>
      </c>
      <c r="U19" s="775">
        <f>H19</f>
        <v>100</v>
      </c>
      <c r="V19" s="774" t="s">
        <v>17</v>
      </c>
      <c r="W19" s="775">
        <f>J19</f>
        <v>100</v>
      </c>
      <c r="X19" s="1816"/>
      <c r="Y19" s="3226"/>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226"/>
      <c r="Q20" s="1813"/>
      <c r="R20" s="774"/>
      <c r="S20" s="775"/>
      <c r="T20" s="774"/>
      <c r="U20" s="775"/>
      <c r="V20" s="774"/>
      <c r="W20" s="775"/>
      <c r="X20" s="1816"/>
      <c r="Y20" s="3226"/>
      <c r="Z20" s="1817"/>
      <c r="AA20" s="1814">
        <v>1</v>
      </c>
      <c r="AB20" s="1814">
        <v>1</v>
      </c>
      <c r="AC20" s="1814">
        <v>1</v>
      </c>
    </row>
    <row r="21" spans="1:29" ht="270.75">
      <c r="A21" s="428"/>
      <c r="B21" s="451" t="s">
        <v>2701</v>
      </c>
      <c r="C21" s="2608" t="str">
        <f>估价对象房地状况!C18</f>
        <v>估价对象位于海淀区万柳地区，北距北四环西路约600米，周边路网较为密集，行车出入便捷。且项目及周边道路均设有停车场位，停车便捷。周边1公里范围内有481路、664路等公交线路，且地铁10号线巴沟站位于地块东北角，公交便捷度好。综上分析，估价对象所在区位整体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6"/>
      <c r="Q21" s="1813" t="str">
        <f>B21</f>
        <v>交通便捷度</v>
      </c>
      <c r="R21" s="774" t="s">
        <v>17</v>
      </c>
      <c r="S21" s="775">
        <f>F21</f>
        <v>100</v>
      </c>
      <c r="T21" s="774" t="s">
        <v>17</v>
      </c>
      <c r="U21" s="775">
        <f>H21</f>
        <v>100</v>
      </c>
      <c r="V21" s="774" t="s">
        <v>17</v>
      </c>
      <c r="W21" s="775">
        <f>J21</f>
        <v>100</v>
      </c>
      <c r="X21" s="1816"/>
      <c r="Y21" s="3226"/>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226"/>
      <c r="Q22" s="1813"/>
      <c r="R22" s="774"/>
      <c r="S22" s="775"/>
      <c r="T22" s="774"/>
      <c r="U22" s="775"/>
      <c r="V22" s="774"/>
      <c r="W22" s="775"/>
      <c r="X22" s="1816"/>
      <c r="Y22" s="3226"/>
      <c r="Z22" s="1817"/>
      <c r="AA22" s="1814">
        <v>1</v>
      </c>
      <c r="AB22" s="1814">
        <v>1</v>
      </c>
      <c r="AC22" s="1814">
        <v>1</v>
      </c>
    </row>
    <row r="23" spans="1:29" ht="57">
      <c r="A23" s="404"/>
      <c r="B23" s="451" t="s">
        <v>2740</v>
      </c>
      <c r="C23" s="1392" t="str">
        <f>估价对象房地状况!C19</f>
        <v>周边多为居住用地，区域土地利用方向较为一致。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6"/>
      <c r="Q23" s="1813" t="str">
        <f t="shared" ref="Q23:Q37" si="8">B23</f>
        <v>区域土地利用方向</v>
      </c>
      <c r="R23" s="774" t="s">
        <v>17</v>
      </c>
      <c r="S23" s="775">
        <f>F23</f>
        <v>100</v>
      </c>
      <c r="T23" s="774" t="s">
        <v>17</v>
      </c>
      <c r="U23" s="775">
        <f>H23</f>
        <v>100</v>
      </c>
      <c r="V23" s="774" t="s">
        <v>17</v>
      </c>
      <c r="W23" s="775">
        <f>J23</f>
        <v>100</v>
      </c>
      <c r="X23" s="1816"/>
      <c r="Y23" s="3226"/>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226"/>
      <c r="Q24" s="1813"/>
      <c r="R24" s="774"/>
      <c r="S24" s="775"/>
      <c r="T24" s="774"/>
      <c r="U24" s="775"/>
      <c r="V24" s="774"/>
      <c r="W24" s="775"/>
      <c r="X24" s="1816"/>
      <c r="Y24" s="3226"/>
      <c r="Z24" s="1817"/>
      <c r="AA24" s="1814"/>
      <c r="AB24" s="1814"/>
      <c r="AC24" s="1814"/>
    </row>
    <row r="25" spans="1:29" ht="156.75">
      <c r="A25" s="404"/>
      <c r="B25" s="1387" t="s">
        <v>2741</v>
      </c>
      <c r="C25" s="2664" t="str">
        <f>估价对象房地状况!C20</f>
        <v>估价对象所在区域有2公里范围内有海淀公园、巴沟山水园等自然景观；人文环境：多家幼儿园及北京市八一中学、中国人民大学等，人文环境好；综合评价环境状况较好。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6"/>
      <c r="Q25" s="1813" t="str">
        <f t="shared" si="8"/>
        <v>自然及人文环境状况</v>
      </c>
      <c r="R25" s="774" t="s">
        <v>17</v>
      </c>
      <c r="S25" s="775">
        <f>F25</f>
        <v>100</v>
      </c>
      <c r="T25" s="774" t="s">
        <v>17</v>
      </c>
      <c r="U25" s="775">
        <f>H25</f>
        <v>100</v>
      </c>
      <c r="V25" s="774" t="s">
        <v>17</v>
      </c>
      <c r="W25" s="775">
        <f>J25</f>
        <v>100</v>
      </c>
      <c r="X25" s="1816"/>
      <c r="Y25" s="3226"/>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226"/>
      <c r="Q26" s="1813"/>
      <c r="R26" s="774"/>
      <c r="S26" s="775"/>
      <c r="T26" s="774"/>
      <c r="U26" s="775"/>
      <c r="V26" s="774"/>
      <c r="W26" s="775"/>
      <c r="X26" s="1816"/>
      <c r="Y26" s="3226"/>
      <c r="Z26" s="1817"/>
      <c r="AA26" s="1814">
        <v>1</v>
      </c>
      <c r="AB26" s="1814">
        <v>1</v>
      </c>
      <c r="AC26" s="1814">
        <v>1</v>
      </c>
    </row>
    <row r="27" spans="1:29" s="117" customFormat="1" ht="213.75">
      <c r="A27" s="649"/>
      <c r="B27" s="1387" t="s">
        <v>2646</v>
      </c>
      <c r="C27" s="2608" t="str">
        <f>估价对象房地状况!C21</f>
        <v>周边1.5公里内的公共服务配套设施较为齐备，有购物场所（北京华联万柳购物中心）、医院（北京市海淀区妇幼保健院）、银行（中国光大银行、浦发银行）、学校（北京市八一学校、万泉小学）、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6"/>
      <c r="Q27" s="1798" t="str">
        <f t="shared" si="8"/>
        <v>公共配套设施</v>
      </c>
      <c r="R27" s="770" t="s">
        <v>17</v>
      </c>
      <c r="S27" s="771">
        <f>F27</f>
        <v>100</v>
      </c>
      <c r="T27" s="770" t="s">
        <v>17</v>
      </c>
      <c r="U27" s="771">
        <f>H27</f>
        <v>100</v>
      </c>
      <c r="V27" s="770" t="s">
        <v>17</v>
      </c>
      <c r="W27" s="771">
        <f>J27</f>
        <v>100</v>
      </c>
      <c r="X27" s="772"/>
      <c r="Y27" s="3226"/>
      <c r="Z27" s="55" t="str">
        <f>Q27</f>
        <v>公共配套设施</v>
      </c>
      <c r="AA27" s="1814">
        <f>D27/F27</f>
        <v>1</v>
      </c>
      <c r="AB27" s="1814">
        <f>D27/H27</f>
        <v>1</v>
      </c>
      <c r="AC27" s="1814">
        <f>D27/J27</f>
        <v>1</v>
      </c>
    </row>
    <row r="28" spans="1:29" s="117" customFormat="1" ht="15">
      <c r="A28" s="649"/>
      <c r="B28" s="456"/>
      <c r="C28" s="2700"/>
      <c r="D28" s="448"/>
      <c r="E28" s="2612"/>
      <c r="F28" s="448"/>
      <c r="G28" s="2612"/>
      <c r="H28" s="448"/>
      <c r="I28" s="447"/>
      <c r="J28" s="448"/>
      <c r="K28" s="672"/>
      <c r="L28" s="1135"/>
      <c r="M28" s="1136"/>
      <c r="N28" s="1136"/>
      <c r="O28" s="1137"/>
      <c r="P28" s="3226"/>
      <c r="Q28" s="1798"/>
      <c r="R28" s="770"/>
      <c r="S28" s="771"/>
      <c r="T28" s="770"/>
      <c r="U28" s="771"/>
      <c r="V28" s="770"/>
      <c r="W28" s="771"/>
      <c r="X28" s="772"/>
      <c r="Y28" s="3226"/>
      <c r="Z28" s="55"/>
      <c r="AA28" s="1814">
        <v>1</v>
      </c>
      <c r="AB28" s="1814">
        <v>1</v>
      </c>
      <c r="AC28" s="1814">
        <v>1</v>
      </c>
    </row>
    <row r="29" spans="1:29" s="117" customFormat="1" ht="42.75">
      <c r="A29" s="649"/>
      <c r="B29" s="1387" t="s">
        <v>2647</v>
      </c>
      <c r="C29" s="2608"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6"/>
      <c r="Q29" s="1798" t="str">
        <f t="shared" ref="Q29" si="9">B29</f>
        <v>基础设施水平</v>
      </c>
      <c r="R29" s="770" t="s">
        <v>17</v>
      </c>
      <c r="S29" s="771">
        <f>F29</f>
        <v>100</v>
      </c>
      <c r="T29" s="770" t="s">
        <v>17</v>
      </c>
      <c r="U29" s="771">
        <f>H29</f>
        <v>100</v>
      </c>
      <c r="V29" s="770" t="s">
        <v>17</v>
      </c>
      <c r="W29" s="771">
        <f>J29</f>
        <v>100</v>
      </c>
      <c r="X29" s="772"/>
      <c r="Y29" s="3226"/>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226"/>
      <c r="Q30" s="1798"/>
      <c r="R30" s="770"/>
      <c r="S30" s="771"/>
      <c r="T30" s="770"/>
      <c r="U30" s="771"/>
      <c r="V30" s="770"/>
      <c r="W30" s="771"/>
      <c r="X30" s="772"/>
      <c r="Y30" s="3226"/>
      <c r="Z30" s="55"/>
      <c r="AA30" s="1814">
        <v>1</v>
      </c>
      <c r="AB30" s="1814">
        <v>1</v>
      </c>
      <c r="AC30" s="1814">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6"/>
      <c r="Z31" s="1817" t="str">
        <f t="shared" ref="Z31:Z45" si="13">Q31</f>
        <v>临街状况</v>
      </c>
      <c r="AA31" s="1814">
        <f t="shared" si="3"/>
        <v>1</v>
      </c>
      <c r="AB31" s="1814">
        <f t="shared" si="4"/>
        <v>1</v>
      </c>
      <c r="AC31" s="1814">
        <f t="shared" si="5"/>
        <v>1</v>
      </c>
    </row>
    <row r="32" spans="1:29" ht="27">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6"/>
      <c r="Q32" s="1813" t="str">
        <f t="shared" si="8"/>
        <v>毗邻道路的类型与等级</v>
      </c>
      <c r="R32" s="774" t="s">
        <v>17</v>
      </c>
      <c r="S32" s="775">
        <f t="shared" si="10"/>
        <v>100</v>
      </c>
      <c r="T32" s="774" t="s">
        <v>17</v>
      </c>
      <c r="U32" s="775">
        <f t="shared" si="11"/>
        <v>100</v>
      </c>
      <c r="V32" s="774" t="s">
        <v>17</v>
      </c>
      <c r="W32" s="775">
        <f t="shared" si="12"/>
        <v>100</v>
      </c>
      <c r="X32" s="1816"/>
      <c r="Y32" s="3226"/>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226"/>
      <c r="Q33" s="1813"/>
      <c r="R33" s="774"/>
      <c r="S33" s="775"/>
      <c r="T33" s="774"/>
      <c r="U33" s="775"/>
      <c r="V33" s="774"/>
      <c r="W33" s="775"/>
      <c r="X33" s="1816"/>
      <c r="Y33" s="3226"/>
      <c r="Z33" s="1817"/>
      <c r="AA33" s="1814">
        <v>1</v>
      </c>
      <c r="AB33" s="1814">
        <v>1</v>
      </c>
      <c r="AC33" s="1814">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6"/>
      <c r="Q34" s="1813" t="str">
        <f t="shared" si="8"/>
        <v>土地级别</v>
      </c>
      <c r="R34" s="774" t="s">
        <v>17</v>
      </c>
      <c r="S34" s="775">
        <f t="shared" si="10"/>
        <v>100</v>
      </c>
      <c r="T34" s="774" t="s">
        <v>17</v>
      </c>
      <c r="U34" s="775">
        <f t="shared" si="11"/>
        <v>100</v>
      </c>
      <c r="V34" s="774" t="s">
        <v>17</v>
      </c>
      <c r="W34" s="775">
        <f t="shared" si="12"/>
        <v>100</v>
      </c>
      <c r="X34" s="1816"/>
      <c r="Y34" s="322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6"/>
      <c r="Q35" s="1813">
        <f t="shared" si="8"/>
        <v>111</v>
      </c>
      <c r="R35" s="774" t="s">
        <v>17</v>
      </c>
      <c r="S35" s="775">
        <f t="shared" si="10"/>
        <v>100</v>
      </c>
      <c r="T35" s="774" t="s">
        <v>17</v>
      </c>
      <c r="U35" s="775">
        <f t="shared" si="11"/>
        <v>100</v>
      </c>
      <c r="V35" s="774" t="s">
        <v>17</v>
      </c>
      <c r="W35" s="775">
        <f t="shared" si="12"/>
        <v>100</v>
      </c>
      <c r="X35" s="1816"/>
      <c r="Y35" s="322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8" t="s">
        <v>2557</v>
      </c>
      <c r="Q36" s="1813">
        <f t="shared" si="8"/>
        <v>111</v>
      </c>
      <c r="R36" s="774" t="s">
        <v>17</v>
      </c>
      <c r="S36" s="775">
        <f t="shared" si="10"/>
        <v>100</v>
      </c>
      <c r="T36" s="774" t="s">
        <v>17</v>
      </c>
      <c r="U36" s="775">
        <f t="shared" si="11"/>
        <v>100</v>
      </c>
      <c r="V36" s="774" t="s">
        <v>17</v>
      </c>
      <c r="W36" s="775">
        <f t="shared" si="12"/>
        <v>100</v>
      </c>
      <c r="X36" s="1816"/>
      <c r="Y36" s="3230" t="s">
        <v>2557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0"/>
      <c r="Q37" s="1813">
        <f t="shared" si="8"/>
        <v>111</v>
      </c>
      <c r="R37" s="777" t="s">
        <v>17</v>
      </c>
      <c r="S37" s="778">
        <f t="shared" si="10"/>
        <v>100</v>
      </c>
      <c r="T37" s="777" t="s">
        <v>17</v>
      </c>
      <c r="U37" s="778">
        <f t="shared" si="11"/>
        <v>100</v>
      </c>
      <c r="V37" s="777" t="s">
        <v>17</v>
      </c>
      <c r="W37" s="778">
        <f t="shared" si="12"/>
        <v>100</v>
      </c>
      <c r="X37" s="779"/>
      <c r="Y37" s="3230"/>
      <c r="Z37" s="780">
        <f t="shared" si="13"/>
        <v>111</v>
      </c>
      <c r="AA37" s="1814">
        <f t="shared" si="3"/>
        <v>1</v>
      </c>
      <c r="AB37" s="1814">
        <f t="shared" si="4"/>
        <v>1</v>
      </c>
      <c r="AC37" s="1814">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0"/>
      <c r="Q38" s="1813" t="str">
        <f>B38</f>
        <v>宗地面积</v>
      </c>
      <c r="R38" s="774" t="s">
        <v>17</v>
      </c>
      <c r="S38" s="775" t="e">
        <f t="shared" si="10"/>
        <v>#N/A</v>
      </c>
      <c r="T38" s="774" t="s">
        <v>17</v>
      </c>
      <c r="U38" s="775" t="e">
        <f t="shared" si="11"/>
        <v>#N/A</v>
      </c>
      <c r="V38" s="774" t="s">
        <v>17</v>
      </c>
      <c r="W38" s="775" t="e">
        <f t="shared" si="12"/>
        <v>#N/A</v>
      </c>
      <c r="X38" s="1816"/>
      <c r="Y38" s="3230"/>
      <c r="Z38" s="1817" t="str">
        <f t="shared" si="13"/>
        <v>宗地面积</v>
      </c>
      <c r="AA38" s="1814" t="e">
        <f t="shared" si="3"/>
        <v>#N/A</v>
      </c>
      <c r="AB38" s="1814" t="e">
        <f t="shared" si="4"/>
        <v>#N/A</v>
      </c>
      <c r="AC38" s="1814" t="e">
        <f t="shared" si="5"/>
        <v>#N/A</v>
      </c>
    </row>
    <row r="39" spans="1:29" ht="15">
      <c r="A39" s="472"/>
      <c r="B39" s="422" t="s">
        <v>2744</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30"/>
      <c r="Q39" s="1813" t="str">
        <f t="shared" ref="Q39:Q45" si="14">B39</f>
        <v>宗地形状</v>
      </c>
      <c r="R39" s="774" t="s">
        <v>17</v>
      </c>
      <c r="S39" s="775">
        <f t="shared" si="10"/>
        <v>100</v>
      </c>
      <c r="T39" s="774" t="s">
        <v>17</v>
      </c>
      <c r="U39" s="775">
        <f t="shared" si="11"/>
        <v>100</v>
      </c>
      <c r="V39" s="774" t="s">
        <v>17</v>
      </c>
      <c r="W39" s="775">
        <f t="shared" si="12"/>
        <v>100</v>
      </c>
      <c r="X39" s="1816"/>
      <c r="Y39" s="3230"/>
      <c r="Z39" s="1817" t="str">
        <f t="shared" si="13"/>
        <v>宗地形状</v>
      </c>
      <c r="AA39" s="1814">
        <f t="shared" si="3"/>
        <v>1</v>
      </c>
      <c r="AB39" s="1814">
        <f t="shared" si="4"/>
        <v>1</v>
      </c>
      <c r="AC39" s="1814">
        <f t="shared" si="5"/>
        <v>1</v>
      </c>
    </row>
    <row r="40" spans="1:29" ht="15">
      <c r="A40" s="472"/>
      <c r="B40" s="422" t="s">
        <v>2745</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30"/>
      <c r="Q40" s="1813" t="str">
        <f t="shared" si="14"/>
        <v>临街宽度及深度</v>
      </c>
      <c r="R40" s="774" t="s">
        <v>17</v>
      </c>
      <c r="S40" s="775">
        <f t="shared" si="10"/>
        <v>100</v>
      </c>
      <c r="T40" s="774" t="s">
        <v>17</v>
      </c>
      <c r="U40" s="775">
        <f t="shared" si="11"/>
        <v>100</v>
      </c>
      <c r="V40" s="774" t="s">
        <v>17</v>
      </c>
      <c r="W40" s="775">
        <f t="shared" si="12"/>
        <v>100</v>
      </c>
      <c r="X40" s="1816"/>
      <c r="Y40" s="3230"/>
      <c r="Z40" s="1817" t="str">
        <f t="shared" si="13"/>
        <v>临街宽度及深度</v>
      </c>
      <c r="AA40" s="1814">
        <f t="shared" si="3"/>
        <v>1</v>
      </c>
      <c r="AB40" s="1814">
        <f t="shared" si="4"/>
        <v>1</v>
      </c>
      <c r="AC40" s="1814">
        <f t="shared" si="5"/>
        <v>1</v>
      </c>
    </row>
    <row r="41" spans="1:29" s="117" customFormat="1" ht="15">
      <c r="A41" s="473"/>
      <c r="B41" s="422" t="s">
        <v>2746</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30"/>
      <c r="Q41" s="1813" t="str">
        <f t="shared" si="14"/>
        <v>宗地开发程度</v>
      </c>
      <c r="R41" s="770" t="s">
        <v>17</v>
      </c>
      <c r="S41" s="771">
        <f t="shared" si="10"/>
        <v>100</v>
      </c>
      <c r="T41" s="770" t="s">
        <v>17</v>
      </c>
      <c r="U41" s="771">
        <f t="shared" si="11"/>
        <v>100</v>
      </c>
      <c r="V41" s="770" t="s">
        <v>17</v>
      </c>
      <c r="W41" s="771">
        <f t="shared" si="12"/>
        <v>100</v>
      </c>
      <c r="X41" s="772"/>
      <c r="Y41" s="3230"/>
      <c r="Z41" s="55" t="str">
        <f t="shared" si="13"/>
        <v>宗地开发程度</v>
      </c>
      <c r="AA41" s="773">
        <f t="shared" si="3"/>
        <v>1</v>
      </c>
      <c r="AB41" s="773">
        <f t="shared" si="4"/>
        <v>1</v>
      </c>
      <c r="AC41" s="773">
        <f t="shared" si="5"/>
        <v>1</v>
      </c>
    </row>
    <row r="42" spans="1:29" ht="15">
      <c r="A42" s="472"/>
      <c r="B42" s="422" t="s">
        <v>2747</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30" t="s">
        <v>2557</v>
      </c>
      <c r="Q42" s="1813" t="str">
        <f t="shared" si="14"/>
        <v>工程地质条件</v>
      </c>
      <c r="R42" s="774" t="s">
        <v>17</v>
      </c>
      <c r="S42" s="775">
        <f t="shared" si="10"/>
        <v>100</v>
      </c>
      <c r="T42" s="774" t="s">
        <v>17</v>
      </c>
      <c r="U42" s="775">
        <f t="shared" si="11"/>
        <v>100</v>
      </c>
      <c r="V42" s="774" t="s">
        <v>17</v>
      </c>
      <c r="W42" s="775">
        <f t="shared" si="12"/>
        <v>100</v>
      </c>
      <c r="X42" s="1816"/>
      <c r="Y42" s="3230" t="s">
        <v>2557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0"/>
      <c r="Q43" s="1813">
        <f t="shared" si="14"/>
        <v>111</v>
      </c>
      <c r="R43" s="774" t="s">
        <v>17</v>
      </c>
      <c r="S43" s="775">
        <f t="shared" si="10"/>
        <v>100</v>
      </c>
      <c r="T43" s="774" t="s">
        <v>17</v>
      </c>
      <c r="U43" s="775">
        <f t="shared" si="11"/>
        <v>100</v>
      </c>
      <c r="V43" s="774" t="s">
        <v>17</v>
      </c>
      <c r="W43" s="775">
        <f t="shared" si="12"/>
        <v>100</v>
      </c>
      <c r="X43" s="1816"/>
      <c r="Y43" s="323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0"/>
      <c r="Q44" s="1813">
        <f t="shared" si="14"/>
        <v>111</v>
      </c>
      <c r="R44" s="774" t="s">
        <v>17</v>
      </c>
      <c r="S44" s="775">
        <f t="shared" si="10"/>
        <v>100</v>
      </c>
      <c r="T44" s="774" t="s">
        <v>17</v>
      </c>
      <c r="U44" s="775">
        <f t="shared" si="11"/>
        <v>100</v>
      </c>
      <c r="V44" s="774" t="s">
        <v>17</v>
      </c>
      <c r="W44" s="775">
        <f t="shared" si="12"/>
        <v>100</v>
      </c>
      <c r="X44" s="1816"/>
      <c r="Y44" s="3230"/>
      <c r="Z44" s="1817">
        <f t="shared" si="13"/>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0"/>
      <c r="Q45" s="1813">
        <f t="shared" si="14"/>
        <v>111</v>
      </c>
      <c r="R45" s="777" t="s">
        <v>17</v>
      </c>
      <c r="S45" s="778">
        <f t="shared" si="10"/>
        <v>100</v>
      </c>
      <c r="T45" s="777" t="s">
        <v>17</v>
      </c>
      <c r="U45" s="778">
        <f t="shared" si="11"/>
        <v>100</v>
      </c>
      <c r="V45" s="777" t="s">
        <v>17</v>
      </c>
      <c r="W45" s="778">
        <f t="shared" si="12"/>
        <v>100</v>
      </c>
      <c r="X45" s="779"/>
      <c r="Y45" s="3230"/>
      <c r="Z45" s="780">
        <f t="shared" si="13"/>
        <v>111</v>
      </c>
      <c r="AA45" s="1814">
        <f t="shared" si="3"/>
        <v>1</v>
      </c>
      <c r="AB45" s="1814">
        <f t="shared" si="4"/>
        <v>1</v>
      </c>
      <c r="AC45" s="1814">
        <f t="shared" si="5"/>
        <v>1</v>
      </c>
    </row>
    <row r="46" spans="1:29" ht="15">
      <c r="A46" s="479" t="s">
        <v>2712</v>
      </c>
      <c r="B46" s="2704" t="s">
        <v>2748</v>
      </c>
      <c r="C46" s="682" t="s">
        <v>1</v>
      </c>
      <c r="D46" s="481"/>
      <c r="E46" s="482"/>
      <c r="F46" s="483"/>
      <c r="G46" s="484"/>
      <c r="H46" s="485"/>
      <c r="I46" s="482"/>
      <c r="J46" s="485"/>
      <c r="K46" s="783"/>
      <c r="L46" s="1146"/>
      <c r="M46" s="1147"/>
      <c r="N46" s="1134"/>
      <c r="O46" s="1147"/>
      <c r="P46" s="3223" t="str">
        <f>A46</f>
        <v>成交单价</v>
      </c>
      <c r="Q46" s="3223"/>
      <c r="R46" s="3217">
        <f>E46</f>
        <v>0</v>
      </c>
      <c r="S46" s="3217"/>
      <c r="T46" s="3217">
        <f>G46</f>
        <v>0</v>
      </c>
      <c r="U46" s="3217"/>
      <c r="V46" s="3217">
        <f>I46</f>
        <v>0</v>
      </c>
      <c r="W46" s="3217"/>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6"/>
      <c r="M47" s="1147"/>
      <c r="N47" s="1147"/>
      <c r="O47" s="1147"/>
      <c r="P47" s="3223" t="str">
        <f>A47</f>
        <v>比较价值（元/平方米）</v>
      </c>
      <c r="Q47" s="3223"/>
      <c r="R47" s="3279" t="e">
        <f>ROUND(PRODUCT(R46,AA7:AA45),0)</f>
        <v>#DIV/0!</v>
      </c>
      <c r="S47" s="3279"/>
      <c r="T47" s="3279" t="e">
        <f>ROUND(PRODUCT(T46,AB7:AB45),0)</f>
        <v>#DIV/0!</v>
      </c>
      <c r="U47" s="3279"/>
      <c r="V47" s="3279" t="e">
        <f>ROUND(PRODUCT(V46,AC7:AC45),0)</f>
        <v>#DIV/0!</v>
      </c>
      <c r="W47" s="3279"/>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6"/>
      <c r="M48" s="1147"/>
      <c r="N48" s="1147"/>
      <c r="O48" s="1147"/>
      <c r="P48" s="3220" t="str">
        <f>A48</f>
        <v>估价对象XX用房的比较价值（楼面单价，元/平方米）</v>
      </c>
      <c r="Q48" s="3221"/>
      <c r="R48" s="3280" t="e">
        <f>ROUND(AVERAGE(R47:V47),0)</f>
        <v>#DIV/0!</v>
      </c>
      <c r="S48" s="3280"/>
      <c r="T48" s="3280"/>
      <c r="U48" s="3280"/>
      <c r="V48" s="3280"/>
      <c r="W48" s="328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2750</v>
      </c>
      <c r="B55" s="685" t="s">
        <v>2751</v>
      </c>
      <c r="C55" s="2705" t="s">
        <v>2752</v>
      </c>
      <c r="D55" s="2706" t="s">
        <v>2753</v>
      </c>
      <c r="E55" s="686" t="s">
        <v>2754</v>
      </c>
      <c r="F55" s="1110" t="s">
        <v>2755</v>
      </c>
      <c r="G55" s="3205" t="s">
        <v>2756</v>
      </c>
      <c r="H55" s="3281"/>
      <c r="I55" s="144" t="s">
        <v>2757</v>
      </c>
      <c r="J55" s="2707">
        <f>项目基本情况!F35</f>
        <v>0</v>
      </c>
      <c r="K55" s="2708" t="s">
        <v>2758</v>
      </c>
      <c r="L55" s="1109"/>
      <c r="M55" s="1147"/>
      <c r="N55" s="1147"/>
      <c r="O55" s="1147"/>
    </row>
    <row r="56" spans="1:15" s="692" customFormat="1">
      <c r="A56" s="688" t="s">
        <v>2759</v>
      </c>
      <c r="B56" s="689" t="e">
        <f>C48</f>
        <v>#DIV/0!</v>
      </c>
      <c r="C56" s="690">
        <v>1</v>
      </c>
      <c r="D56" s="1166">
        <v>1</v>
      </c>
      <c r="E56" s="690">
        <f>'数据-汇总表'!E8+'数据-汇总表'!E9</f>
        <v>44831.789999999994</v>
      </c>
      <c r="F56" s="1106" t="e">
        <f t="shared" ref="F56:F65" si="15">ROUND(B56*E56/10000,0)</f>
        <v>#DIV/0!</v>
      </c>
      <c r="G56" s="3204"/>
      <c r="H56" s="3223"/>
      <c r="I56" s="1111">
        <v>1</v>
      </c>
      <c r="J56" s="1114">
        <v>1</v>
      </c>
      <c r="K56" s="1148"/>
      <c r="L56" s="944"/>
      <c r="M56" s="944"/>
      <c r="N56" s="944"/>
      <c r="O56" s="944"/>
    </row>
    <row r="57" spans="1:15" s="692" customFormat="1">
      <c r="A57" s="693" t="s">
        <v>2760</v>
      </c>
      <c r="B57" s="262" t="e">
        <f>ROUND($C$48*C57*D57,0)</f>
        <v>#DIV/0!</v>
      </c>
      <c r="C57" s="200">
        <f t="shared" ref="C57:C65" si="16">IF($C$55="北京市系数",I57,J57)</f>
        <v>0.7</v>
      </c>
      <c r="D57" s="1167">
        <v>0.25</v>
      </c>
      <c r="E57" s="694"/>
      <c r="F57" s="1106" t="e">
        <f t="shared" si="15"/>
        <v>#DIV/0!</v>
      </c>
      <c r="G57" s="3282" t="s">
        <v>2761</v>
      </c>
      <c r="H57" s="1107" t="str">
        <f>项目基本情况!B37</f>
        <v>四级</v>
      </c>
      <c r="I57" s="1111">
        <f>SUMIF(修正!A45:A56,H57,修正!B45:B56)</f>
        <v>0.7</v>
      </c>
      <c r="J57" s="1115"/>
      <c r="K57" s="1147"/>
      <c r="L57" s="944"/>
      <c r="M57" s="944"/>
      <c r="N57" s="944"/>
      <c r="O57" s="944"/>
    </row>
    <row r="58" spans="1:15" s="692" customFormat="1">
      <c r="A58" s="693" t="s">
        <v>2762</v>
      </c>
      <c r="B58" s="262" t="e">
        <f t="shared" ref="B58:B65" si="17">ROUND($C$48*C58*D58,0)</f>
        <v>#DIV/0!</v>
      </c>
      <c r="C58" s="200">
        <f t="shared" si="16"/>
        <v>0.4</v>
      </c>
      <c r="D58" s="1167">
        <v>0.25</v>
      </c>
      <c r="E58" s="694"/>
      <c r="F58" s="1106" t="e">
        <f t="shared" si="15"/>
        <v>#DIV/0!</v>
      </c>
      <c r="G58" s="3282"/>
      <c r="H58" s="1107" t="str">
        <f>项目基本情况!B37</f>
        <v>四级</v>
      </c>
      <c r="I58" s="1111">
        <f>SUMIF(修正!A45:A56,H58,修正!C45:C56)</f>
        <v>0.4</v>
      </c>
      <c r="J58" s="1115"/>
      <c r="K58" s="1148"/>
      <c r="L58" s="944"/>
      <c r="M58" s="944"/>
      <c r="N58" s="944"/>
      <c r="O58" s="944"/>
    </row>
    <row r="59" spans="1:15" s="692" customFormat="1">
      <c r="A59" s="693" t="s">
        <v>2763</v>
      </c>
      <c r="B59" s="262" t="e">
        <f t="shared" si="17"/>
        <v>#DIV/0!</v>
      </c>
      <c r="C59" s="200">
        <f t="shared" si="16"/>
        <v>0.28000000000000003</v>
      </c>
      <c r="D59" s="1167">
        <v>0.25</v>
      </c>
      <c r="E59" s="694"/>
      <c r="F59" s="1106" t="e">
        <f t="shared" si="15"/>
        <v>#DIV/0!</v>
      </c>
      <c r="G59" s="3282"/>
      <c r="H59" s="1107" t="str">
        <f>项目基本情况!B37</f>
        <v>四级</v>
      </c>
      <c r="I59" s="1111">
        <f>SUMIF(修正!A45:A56,H59,修正!D45:D56)</f>
        <v>0.28000000000000003</v>
      </c>
      <c r="J59" s="1115"/>
      <c r="K59" s="1147"/>
      <c r="L59" s="944"/>
      <c r="M59" s="944"/>
      <c r="N59" s="944"/>
      <c r="O59" s="944"/>
    </row>
    <row r="60" spans="1:15" s="692" customFormat="1">
      <c r="A60" s="693" t="s">
        <v>2764</v>
      </c>
      <c r="B60" s="262" t="e">
        <f t="shared" si="17"/>
        <v>#DIV/0!</v>
      </c>
      <c r="C60" s="200">
        <f t="shared" si="16"/>
        <v>0.25</v>
      </c>
      <c r="D60" s="1167">
        <v>0.25</v>
      </c>
      <c r="E60" s="694"/>
      <c r="F60" s="1106" t="e">
        <f t="shared" si="15"/>
        <v>#DIV/0!</v>
      </c>
      <c r="G60" s="3282"/>
      <c r="H60" s="1107" t="str">
        <f>项目基本情况!B37</f>
        <v>四级</v>
      </c>
      <c r="I60" s="1111">
        <f>SUMIF(修正!A45:A56,H60,修正!E45:E56)</f>
        <v>0.25</v>
      </c>
      <c r="J60" s="1115"/>
      <c r="K60" s="1148"/>
      <c r="L60" s="944"/>
      <c r="M60" s="944"/>
      <c r="N60" s="944"/>
      <c r="O60" s="944"/>
    </row>
    <row r="61" spans="1:15" s="692" customFormat="1">
      <c r="A61" s="693" t="s">
        <v>2765</v>
      </c>
      <c r="B61" s="262" t="e">
        <f t="shared" si="17"/>
        <v>#DIV/0!</v>
      </c>
      <c r="C61" s="200">
        <f t="shared" si="16"/>
        <v>0</v>
      </c>
      <c r="D61" s="1167">
        <v>0.25</v>
      </c>
      <c r="E61" s="261">
        <f>'数据-汇总表'!E11</f>
        <v>0</v>
      </c>
      <c r="F61" s="1106" t="e">
        <f t="shared" si="15"/>
        <v>#DIV/0!</v>
      </c>
      <c r="G61" s="2709" t="s">
        <v>2766</v>
      </c>
      <c r="H61" s="1107">
        <f>项目基本情况!C37</f>
        <v>0</v>
      </c>
      <c r="I61" s="1111">
        <f>SUMIF(修正!A45:A56,H61,修正!F45:F56)</f>
        <v>0</v>
      </c>
      <c r="J61" s="1115"/>
      <c r="K61" s="1147"/>
      <c r="L61" s="944"/>
      <c r="M61" s="944"/>
      <c r="N61" s="944"/>
      <c r="O61" s="944"/>
    </row>
    <row r="62" spans="1:15" s="692" customFormat="1">
      <c r="A62" s="693" t="s">
        <v>2767</v>
      </c>
      <c r="B62" s="262" t="e">
        <f t="shared" si="17"/>
        <v>#DIV/0!</v>
      </c>
      <c r="C62" s="200">
        <f t="shared" si="16"/>
        <v>0</v>
      </c>
      <c r="D62" s="1167">
        <v>0.25</v>
      </c>
      <c r="E62" s="261">
        <f>'数据-汇总表'!E12</f>
        <v>0</v>
      </c>
      <c r="F62" s="1106" t="e">
        <f t="shared" si="15"/>
        <v>#DIV/0!</v>
      </c>
      <c r="G62" s="1112" t="s">
        <v>2768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2769</v>
      </c>
      <c r="B63" s="262" t="e">
        <f t="shared" si="17"/>
        <v>#DIV/0!</v>
      </c>
      <c r="C63" s="200">
        <f t="shared" si="16"/>
        <v>0.2</v>
      </c>
      <c r="D63" s="1167">
        <v>0.25</v>
      </c>
      <c r="E63" s="261">
        <f>'数据-汇总表'!E13</f>
        <v>0</v>
      </c>
      <c r="F63" s="1106" t="e">
        <f t="shared" si="15"/>
        <v>#DIV/0!</v>
      </c>
      <c r="G63" s="1112" t="s">
        <v>2770</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2771</v>
      </c>
      <c r="B64" s="262" t="e">
        <f t="shared" si="17"/>
        <v>#DIV/0!</v>
      </c>
      <c r="C64" s="200">
        <f t="shared" si="16"/>
        <v>0.2</v>
      </c>
      <c r="D64" s="1167">
        <v>0.25</v>
      </c>
      <c r="E64" s="261">
        <f>'数据-汇总表'!E14</f>
        <v>0</v>
      </c>
      <c r="F64" s="1106" t="e">
        <f t="shared" si="15"/>
        <v>#DIV/0!</v>
      </c>
      <c r="G64" s="2709" t="s">
        <v>2761</v>
      </c>
      <c r="H64" s="1107" t="str">
        <f>项目基本情况!B37</f>
        <v>四级</v>
      </c>
      <c r="I64" s="1111">
        <f>SUMIF(修正!A45:A56,H64,修正!H45:H56)</f>
        <v>0.2</v>
      </c>
      <c r="J64" s="1115"/>
      <c r="K64" s="1148"/>
      <c r="L64" s="944"/>
      <c r="M64" s="944"/>
      <c r="N64" s="944"/>
      <c r="O64" s="944"/>
    </row>
    <row r="65" spans="1:17" s="692" customFormat="1" ht="15" thickBot="1">
      <c r="A65" s="693" t="s">
        <v>2772</v>
      </c>
      <c r="B65" s="262" t="e">
        <f t="shared" si="17"/>
        <v>#DIV/0!</v>
      </c>
      <c r="C65" s="200">
        <f t="shared" si="16"/>
        <v>0</v>
      </c>
      <c r="D65" s="1167">
        <v>0.25</v>
      </c>
      <c r="E65" s="261">
        <f>'数据-汇总表'!E15</f>
        <v>0</v>
      </c>
      <c r="F65" s="1106" t="e">
        <f t="shared" si="15"/>
        <v>#DIV/0!</v>
      </c>
      <c r="G65" s="2710" t="s">
        <v>2766</v>
      </c>
      <c r="H65" s="1117">
        <f>项目基本情况!C37</f>
        <v>0</v>
      </c>
      <c r="I65" s="1113">
        <f>SUMIF(修正!A45:A56,H65,修正!H45:H56)</f>
        <v>0</v>
      </c>
      <c r="J65" s="1116"/>
      <c r="K65" s="1147"/>
      <c r="L65" s="944"/>
      <c r="M65" s="944"/>
      <c r="N65" s="944"/>
      <c r="O65" s="944"/>
    </row>
    <row r="66" spans="1:17" s="692" customFormat="1" ht="13.5" thickBot="1">
      <c r="A66" s="695" t="s">
        <v>2773</v>
      </c>
      <c r="B66" s="696" t="s">
        <v>28</v>
      </c>
      <c r="C66" s="696" t="s">
        <v>29</v>
      </c>
      <c r="D66" s="696" t="s">
        <v>1029</v>
      </c>
      <c r="E66" s="696">
        <f>IF(B46="楼面地价",SUM(E56:E65),'数据-汇总表'!D3)</f>
        <v>44831.789999999994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11" t="s">
        <v>2774</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2" t="s">
        <v>2775</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192" t="s">
        <v>2639</v>
      </c>
      <c r="S4" s="3193"/>
      <c r="T4" s="3192" t="s">
        <v>2640</v>
      </c>
      <c r="U4" s="3193"/>
      <c r="V4" s="3217" t="s">
        <v>2641</v>
      </c>
      <c r="W4" s="3217"/>
      <c r="X4" s="1816"/>
      <c r="Y4" s="3192" t="s">
        <v>2643</v>
      </c>
      <c r="Z4" s="3193"/>
      <c r="AA4" s="3187" t="s">
        <v>2639</v>
      </c>
      <c r="AB4" s="3188" t="s">
        <v>2640</v>
      </c>
      <c r="AC4" s="3187" t="s">
        <v>2641</v>
      </c>
    </row>
    <row r="5" spans="1:29" ht="15">
      <c r="A5" s="404"/>
      <c r="B5" s="405"/>
      <c r="C5" s="3262" t="s">
        <v>2534</v>
      </c>
      <c r="D5" s="3199"/>
      <c r="E5" s="3261" t="s">
        <v>2535</v>
      </c>
      <c r="F5" s="3197"/>
      <c r="G5" s="3262" t="s">
        <v>2536</v>
      </c>
      <c r="H5" s="3199"/>
      <c r="I5" s="3262" t="s">
        <v>2537</v>
      </c>
      <c r="J5" s="3199"/>
      <c r="K5" s="61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83" t="s">
        <v>2789</v>
      </c>
      <c r="D6" s="3284"/>
      <c r="E6" s="3285" t="s">
        <v>2789</v>
      </c>
      <c r="F6" s="3286"/>
      <c r="G6" s="3283" t="s">
        <v>2789</v>
      </c>
      <c r="H6" s="3284"/>
      <c r="I6" s="3283" t="s">
        <v>2789</v>
      </c>
      <c r="J6" s="3284"/>
      <c r="K6" s="610" t="s">
        <v>2539</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2540</v>
      </c>
      <c r="B7" s="409"/>
      <c r="C7" s="410">
        <f>'数据-取费表'!B2</f>
        <v>43430</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190" t="s">
        <v>2541</v>
      </c>
      <c r="Q7" s="3219"/>
      <c r="R7" s="770" t="s">
        <v>17</v>
      </c>
      <c r="S7" s="771">
        <f t="shared" ref="S7:S15" si="0">F7</f>
        <v>0</v>
      </c>
      <c r="T7" s="770" t="s">
        <v>17</v>
      </c>
      <c r="U7" s="771">
        <f t="shared" ref="U7:U15" si="1">H7</f>
        <v>0</v>
      </c>
      <c r="V7" s="770" t="s">
        <v>17</v>
      </c>
      <c r="W7" s="771">
        <f t="shared" ref="W7:W15" si="2">J7</f>
        <v>0</v>
      </c>
      <c r="X7" s="772"/>
      <c r="Y7" s="3190" t="s">
        <v>2541</v>
      </c>
      <c r="Z7" s="3191"/>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2544</v>
      </c>
      <c r="Q8" s="3191"/>
      <c r="R8" s="770" t="s">
        <v>17</v>
      </c>
      <c r="S8" s="771">
        <f t="shared" si="0"/>
        <v>0</v>
      </c>
      <c r="T8" s="770" t="s">
        <v>17</v>
      </c>
      <c r="U8" s="771">
        <f t="shared" si="1"/>
        <v>0</v>
      </c>
      <c r="V8" s="770" t="s">
        <v>17</v>
      </c>
      <c r="W8" s="771">
        <f t="shared" si="2"/>
        <v>0</v>
      </c>
      <c r="X8" s="772"/>
      <c r="Y8" s="3190" t="s">
        <v>2544</v>
      </c>
      <c r="Z8" s="3191"/>
      <c r="AA8" s="773" t="e">
        <f t="shared" ref="AA8:AA40" si="3">D8/F8</f>
        <v>#DIV/0!</v>
      </c>
      <c r="AB8" s="773" t="e">
        <f t="shared" ref="AB8:AB40" si="4">D8/H8</f>
        <v>#DIV/0!</v>
      </c>
      <c r="AC8" s="773" t="e">
        <f t="shared" ref="AC8:AC40" si="5">D8/J8</f>
        <v>#DIV/0!</v>
      </c>
    </row>
    <row r="9" spans="1:29" s="117" customFormat="1">
      <c r="A9" s="415" t="s">
        <v>2545</v>
      </c>
      <c r="B9" s="71" t="s">
        <v>2546</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223" t="s">
        <v>2547</v>
      </c>
      <c r="Q9" s="1798" t="str">
        <f t="shared" ref="Q9:Q15" si="6">B9</f>
        <v>用途</v>
      </c>
      <c r="R9" s="770" t="s">
        <v>17</v>
      </c>
      <c r="S9" s="771">
        <f t="shared" si="0"/>
        <v>100</v>
      </c>
      <c r="T9" s="770" t="s">
        <v>17</v>
      </c>
      <c r="U9" s="771">
        <f t="shared" si="1"/>
        <v>100</v>
      </c>
      <c r="V9" s="770" t="s">
        <v>17</v>
      </c>
      <c r="W9" s="771">
        <f t="shared" si="2"/>
        <v>100</v>
      </c>
      <c r="X9" s="772"/>
      <c r="Y9" s="3044"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102</v>
      </c>
      <c r="G10" s="432"/>
      <c r="H10" s="136">
        <f>ROUND(100/'数据-取费表'!G16,0)</f>
        <v>102</v>
      </c>
      <c r="I10" s="432"/>
      <c r="J10" s="136">
        <f>ROUND(100/'数据-取费表'!G16,0)</f>
        <v>102</v>
      </c>
      <c r="K10" s="672"/>
      <c r="L10" s="1138"/>
      <c r="M10" s="1139"/>
      <c r="N10" s="1139"/>
      <c r="O10" s="1140"/>
      <c r="P10" s="3223"/>
      <c r="Q10" s="1798" t="str">
        <f t="shared" si="6"/>
        <v>土地使用年限（年）</v>
      </c>
      <c r="R10" s="770" t="s">
        <v>17</v>
      </c>
      <c r="S10" s="771">
        <f t="shared" si="0"/>
        <v>102</v>
      </c>
      <c r="T10" s="770" t="s">
        <v>17</v>
      </c>
      <c r="U10" s="771">
        <f t="shared" si="1"/>
        <v>102</v>
      </c>
      <c r="V10" s="770" t="s">
        <v>17</v>
      </c>
      <c r="W10" s="771">
        <f t="shared" si="2"/>
        <v>102</v>
      </c>
      <c r="X10" s="772"/>
      <c r="Y10" s="3044"/>
      <c r="Z10" s="55" t="str">
        <f t="shared" si="7"/>
        <v>土地使用年限（年）</v>
      </c>
      <c r="AA10" s="773">
        <f t="shared" si="3"/>
        <v>0.98039215686274506</v>
      </c>
      <c r="AB10" s="773">
        <f t="shared" si="4"/>
        <v>0.98039215686274506</v>
      </c>
      <c r="AC10" s="773">
        <f t="shared" si="5"/>
        <v>0.98039215686274506</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3"/>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3"/>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3"/>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3"/>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2551</v>
      </c>
      <c r="B15" s="629" t="s">
        <v>2790</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5" t="s">
        <v>2552</v>
      </c>
      <c r="Q15" s="1813" t="str">
        <f t="shared" si="6"/>
        <v>产业集聚程度</v>
      </c>
      <c r="R15" s="774" t="s">
        <v>17</v>
      </c>
      <c r="S15" s="775">
        <f t="shared" si="0"/>
        <v>100</v>
      </c>
      <c r="T15" s="774" t="s">
        <v>17</v>
      </c>
      <c r="U15" s="775">
        <f t="shared" si="1"/>
        <v>100</v>
      </c>
      <c r="V15" s="774" t="s">
        <v>17</v>
      </c>
      <c r="W15" s="775">
        <f t="shared" si="2"/>
        <v>100</v>
      </c>
      <c r="X15" s="1816"/>
      <c r="Y15" s="3225" t="s">
        <v>2552</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226"/>
      <c r="Q16" s="1813"/>
      <c r="R16" s="774"/>
      <c r="S16" s="775"/>
      <c r="T16" s="774"/>
      <c r="U16" s="775"/>
      <c r="V16" s="774"/>
      <c r="W16" s="775"/>
      <c r="X16" s="1816"/>
      <c r="Y16" s="3226"/>
      <c r="Z16" s="1817"/>
      <c r="AA16" s="1814">
        <v>1</v>
      </c>
      <c r="AB16" s="1814">
        <v>1</v>
      </c>
      <c r="AC16" s="1814">
        <v>1</v>
      </c>
    </row>
    <row r="17" spans="1:29" ht="85.5">
      <c r="A17" s="428"/>
      <c r="B17" s="631" t="s">
        <v>2701</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6"/>
      <c r="Q17" s="1813" t="str">
        <f>B17</f>
        <v>交通便捷度</v>
      </c>
      <c r="R17" s="774" t="s">
        <v>17</v>
      </c>
      <c r="S17" s="775">
        <f>F17</f>
        <v>100</v>
      </c>
      <c r="T17" s="774" t="s">
        <v>17</v>
      </c>
      <c r="U17" s="775">
        <f>H17</f>
        <v>100</v>
      </c>
      <c r="V17" s="774" t="s">
        <v>17</v>
      </c>
      <c r="W17" s="775">
        <f>J17</f>
        <v>100</v>
      </c>
      <c r="X17" s="1816"/>
      <c r="Y17" s="3226"/>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226"/>
      <c r="Q18" s="1813"/>
      <c r="R18" s="774"/>
      <c r="S18" s="775"/>
      <c r="T18" s="774"/>
      <c r="U18" s="775"/>
      <c r="V18" s="774"/>
      <c r="W18" s="775"/>
      <c r="X18" s="1816"/>
      <c r="Y18" s="3226"/>
      <c r="Z18" s="1817"/>
      <c r="AA18" s="1814">
        <v>1</v>
      </c>
      <c r="AB18" s="1814">
        <v>1</v>
      </c>
      <c r="AC18" s="1814">
        <v>1</v>
      </c>
    </row>
    <row r="19" spans="1:29" ht="15">
      <c r="A19" s="428"/>
      <c r="B19" s="631" t="s">
        <v>2740</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6"/>
      <c r="Q19" s="1813" t="str">
        <f t="shared" ref="Q19:Q33" si="8">B19</f>
        <v>区域土地利用方向</v>
      </c>
      <c r="R19" s="774" t="s">
        <v>17</v>
      </c>
      <c r="S19" s="775">
        <f>F19</f>
        <v>100</v>
      </c>
      <c r="T19" s="774" t="s">
        <v>17</v>
      </c>
      <c r="U19" s="775">
        <f>H19</f>
        <v>100</v>
      </c>
      <c r="V19" s="774" t="s">
        <v>17</v>
      </c>
      <c r="W19" s="775">
        <f>J19</f>
        <v>100</v>
      </c>
      <c r="X19" s="1816"/>
      <c r="Y19" s="3226"/>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226"/>
      <c r="Q20" s="1813"/>
      <c r="R20" s="774"/>
      <c r="S20" s="775"/>
      <c r="T20" s="774"/>
      <c r="U20" s="775"/>
      <c r="V20" s="774"/>
      <c r="W20" s="775"/>
      <c r="X20" s="1816"/>
      <c r="Y20" s="3226"/>
      <c r="Z20" s="1817"/>
      <c r="AA20" s="1814"/>
      <c r="AB20" s="1814"/>
      <c r="AC20" s="1814"/>
    </row>
    <row r="21" spans="1:29" ht="71.25">
      <c r="A21" s="404"/>
      <c r="B21" s="631" t="s">
        <v>2791</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6"/>
      <c r="Q21" s="1813" t="str">
        <f t="shared" si="8"/>
        <v>环境状况</v>
      </c>
      <c r="R21" s="774" t="s">
        <v>17</v>
      </c>
      <c r="S21" s="775">
        <f>F21</f>
        <v>100</v>
      </c>
      <c r="T21" s="774" t="s">
        <v>17</v>
      </c>
      <c r="U21" s="775">
        <f>H21</f>
        <v>100</v>
      </c>
      <c r="V21" s="774" t="s">
        <v>17</v>
      </c>
      <c r="W21" s="775">
        <f>J21</f>
        <v>100</v>
      </c>
      <c r="X21" s="1816"/>
      <c r="Y21" s="3226"/>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226"/>
      <c r="Q22" s="1813"/>
      <c r="R22" s="774"/>
      <c r="S22" s="775"/>
      <c r="T22" s="774"/>
      <c r="U22" s="775"/>
      <c r="V22" s="774"/>
      <c r="W22" s="775"/>
      <c r="X22" s="1816"/>
      <c r="Y22" s="3226"/>
      <c r="Z22" s="1817"/>
      <c r="AA22" s="1814">
        <v>1</v>
      </c>
      <c r="AB22" s="1814">
        <v>1</v>
      </c>
      <c r="AC22" s="1814">
        <v>1</v>
      </c>
    </row>
    <row r="23" spans="1:29" s="117" customFormat="1" ht="42.75">
      <c r="A23" s="649"/>
      <c r="B23" s="633" t="s">
        <v>2646</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6"/>
      <c r="Q23" s="1798" t="str">
        <f t="shared" si="8"/>
        <v>公共配套设施</v>
      </c>
      <c r="R23" s="770" t="s">
        <v>17</v>
      </c>
      <c r="S23" s="771">
        <f>F23</f>
        <v>100</v>
      </c>
      <c r="T23" s="770" t="s">
        <v>17</v>
      </c>
      <c r="U23" s="771">
        <f>H23</f>
        <v>100</v>
      </c>
      <c r="V23" s="770" t="s">
        <v>17</v>
      </c>
      <c r="W23" s="771">
        <f>J23</f>
        <v>100</v>
      </c>
      <c r="X23" s="772"/>
      <c r="Y23" s="3226"/>
      <c r="Z23" s="55" t="str">
        <f>Q23</f>
        <v>公共配套设施</v>
      </c>
      <c r="AA23" s="1814">
        <f>D23/F23</f>
        <v>1</v>
      </c>
      <c r="AB23" s="1814">
        <f>D23/H23</f>
        <v>1</v>
      </c>
      <c r="AC23" s="1814">
        <f>D23/J23</f>
        <v>1</v>
      </c>
    </row>
    <row r="24" spans="1:29" s="117" customFormat="1" ht="15">
      <c r="A24" s="649"/>
      <c r="B24" s="632"/>
      <c r="C24" s="2700"/>
      <c r="D24" s="448"/>
      <c r="E24" s="2612"/>
      <c r="F24" s="448"/>
      <c r="G24" s="2612"/>
      <c r="H24" s="448"/>
      <c r="I24" s="447"/>
      <c r="J24" s="448"/>
      <c r="K24" s="672"/>
      <c r="L24" s="1135"/>
      <c r="M24" s="1136"/>
      <c r="N24" s="1136"/>
      <c r="O24" s="1137"/>
      <c r="P24" s="3226"/>
      <c r="Q24" s="1798"/>
      <c r="R24" s="770"/>
      <c r="S24" s="771"/>
      <c r="T24" s="770"/>
      <c r="U24" s="771"/>
      <c r="V24" s="770"/>
      <c r="W24" s="771"/>
      <c r="X24" s="772"/>
      <c r="Y24" s="3226"/>
      <c r="Z24" s="55"/>
      <c r="AA24" s="773">
        <v>1</v>
      </c>
      <c r="AB24" s="773">
        <v>1</v>
      </c>
      <c r="AC24" s="773">
        <v>1</v>
      </c>
    </row>
    <row r="25" spans="1:29" s="117" customFormat="1" ht="28.5">
      <c r="A25" s="649"/>
      <c r="B25" s="633" t="s">
        <v>2647</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6"/>
      <c r="Q25" s="1798" t="str">
        <f t="shared" ref="Q25" si="9">B25</f>
        <v>基础设施水平</v>
      </c>
      <c r="R25" s="770" t="s">
        <v>17</v>
      </c>
      <c r="S25" s="771">
        <f>F25</f>
        <v>100</v>
      </c>
      <c r="T25" s="770" t="s">
        <v>17</v>
      </c>
      <c r="U25" s="771">
        <f>H25</f>
        <v>100</v>
      </c>
      <c r="V25" s="770" t="s">
        <v>17</v>
      </c>
      <c r="W25" s="771">
        <f>J25</f>
        <v>100</v>
      </c>
      <c r="X25" s="772"/>
      <c r="Y25" s="3226"/>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5"/>
      <c r="M26" s="1136"/>
      <c r="N26" s="1136"/>
      <c r="O26" s="1137"/>
      <c r="P26" s="3226"/>
      <c r="Q26" s="1798"/>
      <c r="R26" s="770"/>
      <c r="S26" s="771"/>
      <c r="T26" s="770"/>
      <c r="U26" s="771"/>
      <c r="V26" s="770"/>
      <c r="W26" s="771"/>
      <c r="X26" s="772"/>
      <c r="Y26" s="3226"/>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6"/>
      <c r="Z27" s="1817" t="str">
        <f t="shared" ref="Z27:Z40" si="13">Q27</f>
        <v>临街状况</v>
      </c>
      <c r="AA27" s="1814">
        <f t="shared" si="3"/>
        <v>1</v>
      </c>
      <c r="AB27" s="1814">
        <f t="shared" si="4"/>
        <v>1</v>
      </c>
      <c r="AC27" s="1814">
        <f t="shared" si="5"/>
        <v>1</v>
      </c>
    </row>
    <row r="28" spans="1:29" ht="27">
      <c r="A28" s="428"/>
      <c r="B28" s="633" t="s">
        <v>2683</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6"/>
      <c r="Q28" s="1813" t="str">
        <f t="shared" si="8"/>
        <v>毗邻道路的类型与等级</v>
      </c>
      <c r="R28" s="774" t="s">
        <v>17</v>
      </c>
      <c r="S28" s="775">
        <f t="shared" si="10"/>
        <v>100</v>
      </c>
      <c r="T28" s="774" t="s">
        <v>17</v>
      </c>
      <c r="U28" s="775">
        <f t="shared" si="11"/>
        <v>100</v>
      </c>
      <c r="V28" s="774" t="s">
        <v>17</v>
      </c>
      <c r="W28" s="775">
        <f t="shared" si="12"/>
        <v>100</v>
      </c>
      <c r="X28" s="1816"/>
      <c r="Y28" s="3226"/>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226"/>
      <c r="Q29" s="1813"/>
      <c r="R29" s="774"/>
      <c r="S29" s="775"/>
      <c r="T29" s="774"/>
      <c r="U29" s="775"/>
      <c r="V29" s="774"/>
      <c r="W29" s="775"/>
      <c r="X29" s="1816"/>
      <c r="Y29" s="3226"/>
      <c r="Z29" s="1817"/>
      <c r="AA29" s="1814">
        <v>1</v>
      </c>
      <c r="AB29" s="1814">
        <v>1</v>
      </c>
      <c r="AC29" s="1814">
        <v>1</v>
      </c>
    </row>
    <row r="30" spans="1:29" ht="15">
      <c r="A30" s="428"/>
      <c r="B30" s="654" t="s">
        <v>2742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6"/>
      <c r="Q30" s="1813" t="str">
        <f t="shared" si="8"/>
        <v>土地级别</v>
      </c>
      <c r="R30" s="774" t="s">
        <v>17</v>
      </c>
      <c r="S30" s="775">
        <f t="shared" si="10"/>
        <v>100</v>
      </c>
      <c r="T30" s="774" t="s">
        <v>17</v>
      </c>
      <c r="U30" s="775">
        <f t="shared" si="11"/>
        <v>100</v>
      </c>
      <c r="V30" s="774" t="s">
        <v>17</v>
      </c>
      <c r="W30" s="775">
        <f t="shared" si="12"/>
        <v>100</v>
      </c>
      <c r="X30" s="1816"/>
      <c r="Y30" s="3226"/>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6"/>
      <c r="Q31" s="1813">
        <f t="shared" si="8"/>
        <v>111</v>
      </c>
      <c r="R31" s="774" t="s">
        <v>17</v>
      </c>
      <c r="S31" s="775">
        <f t="shared" si="10"/>
        <v>100</v>
      </c>
      <c r="T31" s="774" t="s">
        <v>17</v>
      </c>
      <c r="U31" s="775">
        <f t="shared" si="11"/>
        <v>100</v>
      </c>
      <c r="V31" s="774" t="s">
        <v>17</v>
      </c>
      <c r="W31" s="775">
        <f t="shared" si="12"/>
        <v>100</v>
      </c>
      <c r="X31" s="1816"/>
      <c r="Y31" s="3226"/>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8" t="s">
        <v>2557</v>
      </c>
      <c r="Q32" s="1813">
        <f t="shared" si="8"/>
        <v>111</v>
      </c>
      <c r="R32" s="774" t="s">
        <v>17</v>
      </c>
      <c r="S32" s="775">
        <f t="shared" si="10"/>
        <v>100</v>
      </c>
      <c r="T32" s="774" t="s">
        <v>17</v>
      </c>
      <c r="U32" s="775">
        <f t="shared" si="11"/>
        <v>100</v>
      </c>
      <c r="V32" s="774" t="s">
        <v>17</v>
      </c>
      <c r="W32" s="775">
        <f t="shared" si="12"/>
        <v>100</v>
      </c>
      <c r="X32" s="1816"/>
      <c r="Y32" s="3230" t="s">
        <v>2557</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0"/>
      <c r="Q33" s="1813">
        <f t="shared" si="8"/>
        <v>111</v>
      </c>
      <c r="R33" s="777" t="s">
        <v>17</v>
      </c>
      <c r="S33" s="778">
        <f t="shared" si="10"/>
        <v>100</v>
      </c>
      <c r="T33" s="777" t="s">
        <v>17</v>
      </c>
      <c r="U33" s="778">
        <f t="shared" si="11"/>
        <v>100</v>
      </c>
      <c r="V33" s="777" t="s">
        <v>17</v>
      </c>
      <c r="W33" s="778">
        <f t="shared" si="12"/>
        <v>100</v>
      </c>
      <c r="X33" s="779"/>
      <c r="Y33" s="3230"/>
      <c r="Z33" s="780">
        <f t="shared" si="13"/>
        <v>111</v>
      </c>
      <c r="AA33" s="1814">
        <f t="shared" si="3"/>
        <v>1</v>
      </c>
      <c r="AB33" s="1814">
        <f t="shared" si="4"/>
        <v>1</v>
      </c>
      <c r="AC33" s="1814">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0"/>
      <c r="Q34" s="1813" t="str">
        <f>B34</f>
        <v>宗地面积</v>
      </c>
      <c r="R34" s="774" t="s">
        <v>17</v>
      </c>
      <c r="S34" s="775" t="e">
        <f t="shared" si="10"/>
        <v>#N/A</v>
      </c>
      <c r="T34" s="774" t="s">
        <v>17</v>
      </c>
      <c r="U34" s="775" t="e">
        <f t="shared" si="11"/>
        <v>#N/A</v>
      </c>
      <c r="V34" s="774" t="s">
        <v>17</v>
      </c>
      <c r="W34" s="775" t="e">
        <f t="shared" si="12"/>
        <v>#N/A</v>
      </c>
      <c r="X34" s="1816"/>
      <c r="Y34" s="3230"/>
      <c r="Z34" s="1817" t="str">
        <f t="shared" si="13"/>
        <v>宗地面积</v>
      </c>
      <c r="AA34" s="1814" t="e">
        <f t="shared" si="3"/>
        <v>#N/A</v>
      </c>
      <c r="AB34" s="1814" t="e">
        <f t="shared" si="4"/>
        <v>#N/A</v>
      </c>
      <c r="AC34" s="1814" t="e">
        <f t="shared" si="5"/>
        <v>#N/A</v>
      </c>
    </row>
    <row r="35" spans="1:29" ht="15">
      <c r="A35" s="472"/>
      <c r="B35" s="422" t="s">
        <v>2744</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30"/>
      <c r="Q35" s="1813" t="str">
        <f t="shared" ref="Q35:Q40" si="14">B35</f>
        <v>宗地形状</v>
      </c>
      <c r="R35" s="774" t="s">
        <v>17</v>
      </c>
      <c r="S35" s="775">
        <f t="shared" si="10"/>
        <v>100</v>
      </c>
      <c r="T35" s="774" t="s">
        <v>17</v>
      </c>
      <c r="U35" s="775">
        <f t="shared" si="11"/>
        <v>100</v>
      </c>
      <c r="V35" s="774" t="s">
        <v>17</v>
      </c>
      <c r="W35" s="775">
        <f t="shared" si="12"/>
        <v>100</v>
      </c>
      <c r="X35" s="1816"/>
      <c r="Y35" s="3230"/>
      <c r="Z35" s="1817" t="str">
        <f t="shared" si="13"/>
        <v>宗地形状</v>
      </c>
      <c r="AA35" s="1814">
        <f t="shared" si="3"/>
        <v>1</v>
      </c>
      <c r="AB35" s="1814">
        <f t="shared" si="4"/>
        <v>1</v>
      </c>
      <c r="AC35" s="1814">
        <f t="shared" si="5"/>
        <v>1</v>
      </c>
    </row>
    <row r="36" spans="1:29" s="117" customFormat="1" ht="15">
      <c r="A36" s="473"/>
      <c r="B36" s="422" t="s">
        <v>2746</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30"/>
      <c r="Q36" s="1813" t="str">
        <f t="shared" si="14"/>
        <v>宗地开发程度</v>
      </c>
      <c r="R36" s="770" t="s">
        <v>17</v>
      </c>
      <c r="S36" s="771">
        <f t="shared" si="10"/>
        <v>100</v>
      </c>
      <c r="T36" s="770" t="s">
        <v>17</v>
      </c>
      <c r="U36" s="771">
        <f t="shared" si="11"/>
        <v>100</v>
      </c>
      <c r="V36" s="770" t="s">
        <v>17</v>
      </c>
      <c r="W36" s="771">
        <f t="shared" si="12"/>
        <v>100</v>
      </c>
      <c r="X36" s="772"/>
      <c r="Y36" s="3230"/>
      <c r="Z36" s="55" t="str">
        <f t="shared" si="13"/>
        <v>宗地开发程度</v>
      </c>
      <c r="AA36" s="773">
        <f t="shared" si="3"/>
        <v>1</v>
      </c>
      <c r="AB36" s="773">
        <f t="shared" si="4"/>
        <v>1</v>
      </c>
      <c r="AC36" s="773">
        <f t="shared" si="5"/>
        <v>1</v>
      </c>
    </row>
    <row r="37" spans="1:29" ht="15">
      <c r="A37" s="472"/>
      <c r="B37" s="422" t="s">
        <v>2747</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30" t="s">
        <v>2557</v>
      </c>
      <c r="Q37" s="1813" t="str">
        <f t="shared" si="14"/>
        <v>工程地质条件</v>
      </c>
      <c r="R37" s="774" t="s">
        <v>17</v>
      </c>
      <c r="S37" s="775">
        <f t="shared" si="10"/>
        <v>100</v>
      </c>
      <c r="T37" s="774" t="s">
        <v>17</v>
      </c>
      <c r="U37" s="775">
        <f t="shared" si="11"/>
        <v>100</v>
      </c>
      <c r="V37" s="774" t="s">
        <v>17</v>
      </c>
      <c r="W37" s="775">
        <f t="shared" si="12"/>
        <v>100</v>
      </c>
      <c r="X37" s="1816"/>
      <c r="Y37" s="3230" t="s">
        <v>2557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0"/>
      <c r="Q38" s="1813">
        <f t="shared" si="14"/>
        <v>111</v>
      </c>
      <c r="R38" s="774" t="s">
        <v>17</v>
      </c>
      <c r="S38" s="775">
        <f t="shared" si="10"/>
        <v>100</v>
      </c>
      <c r="T38" s="774" t="s">
        <v>17</v>
      </c>
      <c r="U38" s="775">
        <f t="shared" si="11"/>
        <v>100</v>
      </c>
      <c r="V38" s="774" t="s">
        <v>17</v>
      </c>
      <c r="W38" s="775">
        <f t="shared" si="12"/>
        <v>100</v>
      </c>
      <c r="X38" s="1816"/>
      <c r="Y38" s="323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0"/>
      <c r="Q39" s="1813">
        <f t="shared" si="14"/>
        <v>111</v>
      </c>
      <c r="R39" s="774" t="s">
        <v>17</v>
      </c>
      <c r="S39" s="775">
        <f t="shared" si="10"/>
        <v>100</v>
      </c>
      <c r="T39" s="774" t="s">
        <v>17</v>
      </c>
      <c r="U39" s="775">
        <f t="shared" si="11"/>
        <v>100</v>
      </c>
      <c r="V39" s="774" t="s">
        <v>17</v>
      </c>
      <c r="W39" s="775">
        <f t="shared" si="12"/>
        <v>100</v>
      </c>
      <c r="X39" s="1816"/>
      <c r="Y39" s="3230"/>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0"/>
      <c r="Q40" s="1813">
        <f t="shared" si="14"/>
        <v>111</v>
      </c>
      <c r="R40" s="777" t="s">
        <v>17</v>
      </c>
      <c r="S40" s="778">
        <f t="shared" si="10"/>
        <v>100</v>
      </c>
      <c r="T40" s="777" t="s">
        <v>17</v>
      </c>
      <c r="U40" s="778">
        <f t="shared" si="11"/>
        <v>100</v>
      </c>
      <c r="V40" s="777" t="s">
        <v>17</v>
      </c>
      <c r="W40" s="778">
        <f t="shared" si="12"/>
        <v>100</v>
      </c>
      <c r="X40" s="779"/>
      <c r="Y40" s="3230"/>
      <c r="Z40" s="780">
        <f t="shared" si="13"/>
        <v>111</v>
      </c>
      <c r="AA40" s="1814">
        <f t="shared" si="3"/>
        <v>1</v>
      </c>
      <c r="AB40" s="1814">
        <f t="shared" si="4"/>
        <v>1</v>
      </c>
      <c r="AC40" s="1814">
        <f t="shared" si="5"/>
        <v>1</v>
      </c>
    </row>
    <row r="41" spans="1:29" ht="15">
      <c r="A41" s="479" t="s">
        <v>2712</v>
      </c>
      <c r="B41" s="2704" t="s">
        <v>2792</v>
      </c>
      <c r="C41" s="682" t="s">
        <v>1</v>
      </c>
      <c r="D41" s="481"/>
      <c r="E41" s="482"/>
      <c r="F41" s="483"/>
      <c r="G41" s="484"/>
      <c r="H41" s="485"/>
      <c r="I41" s="482"/>
      <c r="J41" s="485"/>
      <c r="K41" s="783"/>
      <c r="L41" s="1146"/>
      <c r="M41" s="1134"/>
      <c r="N41" s="1134"/>
      <c r="O41" s="1147"/>
      <c r="P41" s="3223" t="str">
        <f>A41</f>
        <v>成交单价</v>
      </c>
      <c r="Q41" s="3223"/>
      <c r="R41" s="3217">
        <f>E41</f>
        <v>0</v>
      </c>
      <c r="S41" s="3217"/>
      <c r="T41" s="3217">
        <f>G41</f>
        <v>0</v>
      </c>
      <c r="U41" s="3217"/>
      <c r="V41" s="3217">
        <f>I41</f>
        <v>0</v>
      </c>
      <c r="W41" s="3217"/>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223" t="str">
        <f>A42</f>
        <v>比较价值（元/平方米）</v>
      </c>
      <c r="Q42" s="3223"/>
      <c r="R42" s="3279" t="e">
        <f>ROUND(PRODUCT(R41,AA7:AA40),0)</f>
        <v>#DIV/0!</v>
      </c>
      <c r="S42" s="3279"/>
      <c r="T42" s="3279" t="e">
        <f>ROUND(PRODUCT(T41,AB7:AB40),0)</f>
        <v>#DIV/0!</v>
      </c>
      <c r="U42" s="3279"/>
      <c r="V42" s="3279" t="e">
        <f>ROUND(PRODUCT(V41,AC7:AC40),0)</f>
        <v>#DIV/0!</v>
      </c>
      <c r="W42" s="3279"/>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220" t="str">
        <f>A43</f>
        <v>估价对象XX用房的比较价值（楼面单价，元/平方米）</v>
      </c>
      <c r="Q43" s="3221"/>
      <c r="R43" s="3280" t="e">
        <f>ROUND(AVERAGE(R42:V42),0)</f>
        <v>#DIV/0!</v>
      </c>
      <c r="S43" s="3280"/>
      <c r="T43" s="3280"/>
      <c r="U43" s="3280"/>
      <c r="V43" s="3280"/>
      <c r="W43" s="328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2750</v>
      </c>
      <c r="B50" s="685" t="s">
        <v>2751</v>
      </c>
      <c r="C50" s="2705" t="s">
        <v>2752</v>
      </c>
      <c r="D50" s="2706" t="s">
        <v>2753</v>
      </c>
      <c r="E50" s="686" t="s">
        <v>2754</v>
      </c>
      <c r="F50" s="687" t="s">
        <v>2755</v>
      </c>
      <c r="G50" s="3205" t="s">
        <v>2756</v>
      </c>
      <c r="H50" s="3281"/>
      <c r="I50" s="1817" t="s">
        <v>2793</v>
      </c>
      <c r="J50" s="1817">
        <f>项目基本情况!F35</f>
        <v>0</v>
      </c>
      <c r="K50" s="2708" t="s">
        <v>2758</v>
      </c>
      <c r="L50" s="1109"/>
      <c r="M50" s="1147"/>
      <c r="N50" s="1147"/>
      <c r="O50" s="1147"/>
    </row>
    <row r="51" spans="1:17" s="692" customFormat="1">
      <c r="A51" s="688" t="s">
        <v>2759</v>
      </c>
      <c r="B51" s="689" t="e">
        <f>C43</f>
        <v>#DIV/0!</v>
      </c>
      <c r="C51" s="690">
        <v>1</v>
      </c>
      <c r="D51" s="1166">
        <v>1</v>
      </c>
      <c r="E51" s="690">
        <f>'数据-汇总表'!E8+'数据-汇总表'!E9</f>
        <v>44831.789999999994</v>
      </c>
      <c r="F51" s="691" t="e">
        <f t="shared" ref="F51:F60" si="15">ROUND(B51*E51/10000,0)</f>
        <v>#DIV/0!</v>
      </c>
      <c r="G51" s="3204"/>
      <c r="H51" s="3223"/>
      <c r="I51" s="945">
        <v>1</v>
      </c>
      <c r="J51" s="945">
        <v>1</v>
      </c>
      <c r="K51" s="1148"/>
      <c r="L51" s="944"/>
      <c r="M51" s="944"/>
      <c r="N51" s="944"/>
      <c r="O51" s="944"/>
    </row>
    <row r="52" spans="1:17" s="692" customFormat="1">
      <c r="A52" s="693" t="s">
        <v>2760</v>
      </c>
      <c r="B52" s="262" t="e">
        <f>ROUND($C$43*C52*D52,0)</f>
        <v>#DIV/0!</v>
      </c>
      <c r="C52" s="200">
        <f t="shared" ref="C52:C60" si="16">IF($C$50="北京市系数",I52,J52)</f>
        <v>0.7</v>
      </c>
      <c r="D52" s="1167">
        <v>0.25</v>
      </c>
      <c r="E52" s="694"/>
      <c r="F52" s="691" t="e">
        <f t="shared" si="15"/>
        <v>#DIV/0!</v>
      </c>
      <c r="G52" s="3282" t="s">
        <v>2761</v>
      </c>
      <c r="H52" s="1107" t="str">
        <f>项目基本情况!B37</f>
        <v>四级</v>
      </c>
      <c r="I52" s="945">
        <f>SUMIF(修正!A45:A56,H52,修正!B45:B56)</f>
        <v>0.7</v>
      </c>
      <c r="J52" s="946"/>
      <c r="K52" s="1147"/>
      <c r="L52" s="944"/>
      <c r="M52" s="944"/>
      <c r="N52" s="944"/>
      <c r="O52" s="944"/>
    </row>
    <row r="53" spans="1:17" s="692" customFormat="1">
      <c r="A53" s="693" t="s">
        <v>2762</v>
      </c>
      <c r="B53" s="262" t="e">
        <f t="shared" ref="B53:B60" si="17">ROUND($C$43*C53*D53,0)</f>
        <v>#DIV/0!</v>
      </c>
      <c r="C53" s="200">
        <f t="shared" si="16"/>
        <v>0.4</v>
      </c>
      <c r="D53" s="1167">
        <v>0.25</v>
      </c>
      <c r="E53" s="694"/>
      <c r="F53" s="691" t="e">
        <f t="shared" si="15"/>
        <v>#DIV/0!</v>
      </c>
      <c r="G53" s="3282"/>
      <c r="H53" s="1107" t="str">
        <f>项目基本情况!B37</f>
        <v>四级</v>
      </c>
      <c r="I53" s="945">
        <f>SUMIF(修正!A45:A56,H53,修正!C45:C56)</f>
        <v>0.4</v>
      </c>
      <c r="J53" s="946"/>
      <c r="K53" s="1148"/>
      <c r="L53" s="944"/>
      <c r="M53" s="944"/>
      <c r="N53" s="944"/>
      <c r="O53" s="944"/>
    </row>
    <row r="54" spans="1:17" s="692" customFormat="1">
      <c r="A54" s="693" t="s">
        <v>2763</v>
      </c>
      <c r="B54" s="262" t="e">
        <f t="shared" si="17"/>
        <v>#DIV/0!</v>
      </c>
      <c r="C54" s="200">
        <f t="shared" si="16"/>
        <v>0.28000000000000003</v>
      </c>
      <c r="D54" s="1167">
        <v>0.25</v>
      </c>
      <c r="E54" s="694"/>
      <c r="F54" s="691" t="e">
        <f t="shared" si="15"/>
        <v>#DIV/0!</v>
      </c>
      <c r="G54" s="3282"/>
      <c r="H54" s="1107" t="str">
        <f>项目基本情况!B37</f>
        <v>四级</v>
      </c>
      <c r="I54" s="945">
        <f>SUMIF(修正!A45:A56,H54,修正!D45:D56)</f>
        <v>0.28000000000000003</v>
      </c>
      <c r="J54" s="946"/>
      <c r="K54" s="1147"/>
      <c r="L54" s="944"/>
      <c r="M54" s="944"/>
      <c r="N54" s="944"/>
      <c r="O54" s="944"/>
    </row>
    <row r="55" spans="1:17" s="692" customFormat="1">
      <c r="A55" s="693" t="s">
        <v>2764</v>
      </c>
      <c r="B55" s="262" t="e">
        <f t="shared" si="17"/>
        <v>#DIV/0!</v>
      </c>
      <c r="C55" s="200">
        <f t="shared" si="16"/>
        <v>0.25</v>
      </c>
      <c r="D55" s="1167">
        <v>0.25</v>
      </c>
      <c r="E55" s="694"/>
      <c r="F55" s="691" t="e">
        <f t="shared" si="15"/>
        <v>#DIV/0!</v>
      </c>
      <c r="G55" s="3282"/>
      <c r="H55" s="1107" t="str">
        <f>项目基本情况!B37</f>
        <v>四级</v>
      </c>
      <c r="I55" s="945">
        <f>SUMIF(修正!A45:A56,H55,修正!E45:E56)</f>
        <v>0.25</v>
      </c>
      <c r="J55" s="946"/>
      <c r="K55" s="1148"/>
      <c r="L55" s="944"/>
      <c r="M55" s="944"/>
      <c r="N55" s="944"/>
      <c r="O55" s="944"/>
    </row>
    <row r="56" spans="1:17" s="692" customFormat="1">
      <c r="A56" s="693" t="s">
        <v>2765</v>
      </c>
      <c r="B56" s="262" t="e">
        <f t="shared" si="17"/>
        <v>#DIV/0!</v>
      </c>
      <c r="C56" s="200">
        <f t="shared" si="16"/>
        <v>0</v>
      </c>
      <c r="D56" s="1167">
        <v>0.25</v>
      </c>
      <c r="E56" s="261">
        <f>'数据-汇总表'!E11</f>
        <v>0</v>
      </c>
      <c r="F56" s="691" t="e">
        <f t="shared" si="15"/>
        <v>#DIV/0!</v>
      </c>
      <c r="G56" s="2709" t="s">
        <v>2766</v>
      </c>
      <c r="H56" s="1107">
        <f>项目基本情况!C37</f>
        <v>0</v>
      </c>
      <c r="I56" s="945">
        <f>SUMIF(修正!A45:A56,H56,修正!F45:F56)</f>
        <v>0</v>
      </c>
      <c r="J56" s="946"/>
      <c r="K56" s="1147"/>
      <c r="L56" s="944"/>
      <c r="M56" s="944"/>
      <c r="N56" s="944"/>
      <c r="O56" s="944"/>
    </row>
    <row r="57" spans="1:17" s="692" customFormat="1">
      <c r="A57" s="693" t="s">
        <v>2767</v>
      </c>
      <c r="B57" s="262" t="e">
        <f t="shared" si="17"/>
        <v>#DIV/0!</v>
      </c>
      <c r="C57" s="200">
        <f t="shared" si="16"/>
        <v>0</v>
      </c>
      <c r="D57" s="1167">
        <v>0.25</v>
      </c>
      <c r="E57" s="261">
        <f>'数据-汇总表'!E12</f>
        <v>0</v>
      </c>
      <c r="F57" s="691" t="e">
        <f t="shared" si="15"/>
        <v>#DIV/0!</v>
      </c>
      <c r="G57" s="1112" t="s">
        <v>2768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2769</v>
      </c>
      <c r="B58" s="262" t="e">
        <f t="shared" si="17"/>
        <v>#DIV/0!</v>
      </c>
      <c r="C58" s="200">
        <f t="shared" si="16"/>
        <v>0.2</v>
      </c>
      <c r="D58" s="1167">
        <v>0.25</v>
      </c>
      <c r="E58" s="261">
        <f>'数据-汇总表'!E13</f>
        <v>0</v>
      </c>
      <c r="F58" s="691" t="e">
        <f t="shared" si="15"/>
        <v>#DIV/0!</v>
      </c>
      <c r="G58" s="1112" t="s">
        <v>2770</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2771</v>
      </c>
      <c r="B59" s="262" t="e">
        <f t="shared" si="17"/>
        <v>#DIV/0!</v>
      </c>
      <c r="C59" s="200">
        <f t="shared" si="16"/>
        <v>0.2</v>
      </c>
      <c r="D59" s="1167">
        <v>0.25</v>
      </c>
      <c r="E59" s="261">
        <f>'数据-汇总表'!E14</f>
        <v>0</v>
      </c>
      <c r="F59" s="691" t="e">
        <f t="shared" si="15"/>
        <v>#DIV/0!</v>
      </c>
      <c r="G59" s="2709" t="s">
        <v>2761</v>
      </c>
      <c r="H59" s="1107" t="str">
        <f>项目基本情况!B37</f>
        <v>四级</v>
      </c>
      <c r="I59" s="945">
        <f>SUMIF(修正!A45:A56,H59,修正!H45:H56)</f>
        <v>0.2</v>
      </c>
      <c r="J59" s="946"/>
      <c r="K59" s="1148"/>
      <c r="L59" s="944"/>
      <c r="M59" s="944"/>
      <c r="N59" s="944"/>
      <c r="O59" s="944"/>
    </row>
    <row r="60" spans="1:17" s="692" customFormat="1" ht="15" thickBot="1">
      <c r="A60" s="693" t="s">
        <v>2772</v>
      </c>
      <c r="B60" s="262" t="e">
        <f t="shared" si="17"/>
        <v>#DIV/0!</v>
      </c>
      <c r="C60" s="200">
        <f t="shared" si="16"/>
        <v>0</v>
      </c>
      <c r="D60" s="1167">
        <v>0.25</v>
      </c>
      <c r="E60" s="261">
        <f>'数据-汇总表'!E15</f>
        <v>0</v>
      </c>
      <c r="F60" s="691" t="e">
        <f t="shared" si="15"/>
        <v>#DIV/0!</v>
      </c>
      <c r="G60" s="2710" t="s">
        <v>2766</v>
      </c>
      <c r="H60" s="1117">
        <f>项目基本情况!C37</f>
        <v>0</v>
      </c>
      <c r="I60" s="945">
        <f>SUMIF(修正!A45:A56,H60,修正!H45:H56)</f>
        <v>0</v>
      </c>
      <c r="J60" s="946"/>
      <c r="K60" s="1147"/>
      <c r="L60" s="944"/>
      <c r="M60" s="944"/>
      <c r="N60" s="944"/>
      <c r="O60" s="944"/>
    </row>
    <row r="61" spans="1:17" s="692" customFormat="1" ht="15" thickBot="1">
      <c r="A61" s="695" t="s">
        <v>2773</v>
      </c>
      <c r="B61" s="696" t="s">
        <v>28</v>
      </c>
      <c r="C61" s="696" t="s">
        <v>29</v>
      </c>
      <c r="D61" s="696" t="s">
        <v>1029</v>
      </c>
      <c r="E61" s="696">
        <f>IF(B41="楼面地价",SUM(E51:E60),'数据-汇总表'!D3)</f>
        <v>12068.97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11" t="s">
        <v>2774</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6" t="s">
        <v>2794</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7" t="s">
        <v>183</v>
      </c>
      <c r="B18" s="882" t="s">
        <v>560</v>
      </c>
      <c r="C18" s="883" t="s">
        <v>561</v>
      </c>
      <c r="D18" s="884"/>
      <c r="E18" s="882">
        <v>1</v>
      </c>
      <c r="F18" s="885" t="s">
        <v>562</v>
      </c>
      <c r="G18" s="886"/>
      <c r="H18" s="878"/>
      <c r="I18" s="878"/>
    </row>
    <row r="19" spans="1:9" s="887" customFormat="1" ht="19.5" customHeight="1">
      <c r="A19" s="3287"/>
      <c r="B19" s="3287" t="s">
        <v>563</v>
      </c>
      <c r="C19" s="883" t="s">
        <v>564</v>
      </c>
      <c r="D19" s="884"/>
      <c r="E19" s="882">
        <v>0.9</v>
      </c>
      <c r="F19" s="885" t="s">
        <v>565</v>
      </c>
      <c r="G19" s="886"/>
      <c r="H19" s="878"/>
      <c r="I19" s="878"/>
    </row>
    <row r="20" spans="1:9" s="887" customFormat="1" ht="19.5" customHeight="1">
      <c r="A20" s="3287"/>
      <c r="B20" s="3287"/>
      <c r="C20" s="883" t="s">
        <v>566</v>
      </c>
      <c r="D20" s="884"/>
      <c r="E20" s="882">
        <v>1.1000000000000001</v>
      </c>
      <c r="F20" s="885" t="s">
        <v>567</v>
      </c>
      <c r="G20" s="886"/>
      <c r="H20" s="878"/>
      <c r="I20" s="878"/>
    </row>
    <row r="21" spans="1:9" s="887" customFormat="1" ht="19.5" customHeight="1">
      <c r="A21" s="3287"/>
      <c r="B21" s="3287"/>
      <c r="C21" s="883" t="s">
        <v>568</v>
      </c>
      <c r="D21" s="884"/>
      <c r="E21" s="882">
        <v>0.8</v>
      </c>
      <c r="F21" s="885" t="s">
        <v>569</v>
      </c>
      <c r="G21" s="886"/>
      <c r="H21" s="878"/>
      <c r="I21" s="878"/>
    </row>
    <row r="22" spans="1:9" s="887" customFormat="1" ht="19.5" customHeight="1">
      <c r="A22" s="3287"/>
      <c r="B22" s="3287"/>
      <c r="C22" s="883" t="s">
        <v>570</v>
      </c>
      <c r="D22" s="884"/>
      <c r="E22" s="882">
        <v>0.5</v>
      </c>
      <c r="F22" s="885"/>
      <c r="G22" s="886"/>
      <c r="H22" s="878"/>
      <c r="I22" s="878"/>
    </row>
    <row r="23" spans="1:9" s="887" customFormat="1" ht="19.5" customHeight="1">
      <c r="A23" s="3287" t="s">
        <v>184</v>
      </c>
      <c r="B23" s="882" t="s">
        <v>560</v>
      </c>
      <c r="C23" s="883" t="s">
        <v>571</v>
      </c>
      <c r="D23" s="884"/>
      <c r="E23" s="882">
        <v>1</v>
      </c>
      <c r="F23" s="885" t="s">
        <v>572</v>
      </c>
      <c r="G23" s="886"/>
      <c r="H23" s="878"/>
      <c r="I23" s="878"/>
    </row>
    <row r="24" spans="1:9" s="887" customFormat="1" ht="19.5" customHeight="1">
      <c r="A24" s="3287"/>
      <c r="B24" s="3287" t="s">
        <v>563</v>
      </c>
      <c r="C24" s="883" t="s">
        <v>573</v>
      </c>
      <c r="D24" s="884"/>
      <c r="E24" s="882">
        <v>0.5</v>
      </c>
      <c r="F24" s="885"/>
      <c r="G24" s="886"/>
      <c r="H24" s="878"/>
      <c r="I24" s="878"/>
    </row>
    <row r="25" spans="1:9" s="887" customFormat="1" ht="19.5" customHeight="1">
      <c r="A25" s="3287"/>
      <c r="B25" s="3287"/>
      <c r="C25" s="883" t="s">
        <v>574</v>
      </c>
      <c r="D25" s="884"/>
      <c r="E25" s="882">
        <v>1.1000000000000001</v>
      </c>
      <c r="F25" s="885"/>
      <c r="G25" s="886"/>
      <c r="H25" s="878"/>
      <c r="I25" s="878"/>
    </row>
    <row r="26" spans="1:9" s="887" customFormat="1" ht="19.5" customHeight="1">
      <c r="A26" s="3287"/>
      <c r="B26" s="3287"/>
      <c r="C26" s="883" t="s">
        <v>575</v>
      </c>
      <c r="D26" s="884"/>
      <c r="E26" s="882">
        <v>1.1000000000000001</v>
      </c>
      <c r="F26" s="885"/>
      <c r="G26" s="886"/>
      <c r="H26" s="878"/>
      <c r="I26" s="878"/>
    </row>
    <row r="27" spans="1:9" s="887" customFormat="1" ht="19.5" customHeight="1">
      <c r="A27" s="3287"/>
      <c r="B27" s="3287"/>
      <c r="C27" s="883" t="s">
        <v>576</v>
      </c>
      <c r="D27" s="884"/>
      <c r="E27" s="882">
        <v>0.9</v>
      </c>
      <c r="F27" s="885" t="s">
        <v>577</v>
      </c>
      <c r="G27" s="886"/>
      <c r="H27" s="878"/>
      <c r="I27" s="878"/>
    </row>
    <row r="28" spans="1:9" s="887" customFormat="1" ht="19.5" customHeight="1">
      <c r="A28" s="3287"/>
      <c r="B28" s="3287"/>
      <c r="C28" s="883" t="s">
        <v>578</v>
      </c>
      <c r="D28" s="884"/>
      <c r="E28" s="882">
        <v>0.9</v>
      </c>
      <c r="F28" s="885" t="s">
        <v>579</v>
      </c>
      <c r="G28" s="886"/>
      <c r="H28" s="878"/>
      <c r="I28" s="878"/>
    </row>
    <row r="29" spans="1:9" s="887" customFormat="1" ht="19.5" customHeight="1">
      <c r="A29" s="3287"/>
      <c r="B29" s="3287"/>
      <c r="C29" s="883" t="s">
        <v>580</v>
      </c>
      <c r="D29" s="884"/>
      <c r="E29" s="882">
        <v>0.9</v>
      </c>
      <c r="F29" s="885" t="s">
        <v>581</v>
      </c>
      <c r="G29" s="886"/>
      <c r="H29" s="878"/>
      <c r="I29" s="878"/>
    </row>
    <row r="30" spans="1:9" s="887" customFormat="1" ht="19.5" customHeight="1">
      <c r="A30" s="3287"/>
      <c r="B30" s="3287"/>
      <c r="C30" s="883" t="s">
        <v>582</v>
      </c>
      <c r="D30" s="884"/>
      <c r="E30" s="882">
        <v>0.9</v>
      </c>
      <c r="F30" s="885" t="s">
        <v>583</v>
      </c>
      <c r="G30" s="886"/>
      <c r="H30" s="878"/>
      <c r="I30" s="878"/>
    </row>
    <row r="31" spans="1:9" s="887" customFormat="1" ht="19.5" customHeight="1">
      <c r="A31" s="3287"/>
      <c r="B31" s="3287"/>
      <c r="C31" s="883" t="s">
        <v>584</v>
      </c>
      <c r="D31" s="884"/>
      <c r="E31" s="882">
        <v>0.8</v>
      </c>
      <c r="F31" s="885" t="s">
        <v>585</v>
      </c>
      <c r="G31" s="886"/>
      <c r="H31" s="878"/>
      <c r="I31" s="878"/>
    </row>
    <row r="32" spans="1:9" s="887" customFormat="1" ht="19.5" customHeight="1">
      <c r="A32" s="3287"/>
      <c r="B32" s="3287"/>
      <c r="C32" s="883" t="s">
        <v>586</v>
      </c>
      <c r="D32" s="884"/>
      <c r="E32" s="882">
        <v>0.8</v>
      </c>
      <c r="F32" s="885" t="s">
        <v>587</v>
      </c>
      <c r="G32" s="886"/>
      <c r="H32" s="878"/>
      <c r="I32" s="878"/>
    </row>
    <row r="33" spans="1:9" s="887" customFormat="1" ht="19.5" customHeight="1">
      <c r="A33" s="3287" t="s">
        <v>185</v>
      </c>
      <c r="B33" s="882" t="s">
        <v>560</v>
      </c>
      <c r="C33" s="883" t="s">
        <v>588</v>
      </c>
      <c r="D33" s="884"/>
      <c r="E33" s="882">
        <v>1</v>
      </c>
      <c r="F33" s="885" t="s">
        <v>589</v>
      </c>
      <c r="G33" s="886"/>
      <c r="H33" s="878"/>
      <c r="I33" s="878"/>
    </row>
    <row r="34" spans="1:9" s="887" customFormat="1" ht="19.5" customHeight="1">
      <c r="A34" s="3287"/>
      <c r="B34" s="882" t="s">
        <v>563</v>
      </c>
      <c r="C34" s="883" t="s">
        <v>590</v>
      </c>
      <c r="D34" s="884"/>
      <c r="E34" s="882">
        <v>1.5</v>
      </c>
      <c r="F34" s="885" t="s">
        <v>591</v>
      </c>
      <c r="G34" s="886"/>
      <c r="H34" s="878"/>
      <c r="I34" s="878"/>
    </row>
    <row r="35" spans="1:9" s="887" customFormat="1" ht="19.5" customHeight="1">
      <c r="A35" s="3287" t="s">
        <v>186</v>
      </c>
      <c r="B35" s="882" t="s">
        <v>560</v>
      </c>
      <c r="C35" s="883" t="s">
        <v>592</v>
      </c>
      <c r="D35" s="884"/>
      <c r="E35" s="882">
        <v>1</v>
      </c>
      <c r="F35" s="885" t="s">
        <v>593</v>
      </c>
      <c r="G35" s="886"/>
      <c r="H35" s="878"/>
      <c r="I35" s="878"/>
    </row>
    <row r="36" spans="1:9" s="887" customFormat="1" ht="19.5" customHeight="1">
      <c r="A36" s="3287"/>
      <c r="B36" s="3287" t="s">
        <v>563</v>
      </c>
      <c r="C36" s="883" t="s">
        <v>594</v>
      </c>
      <c r="D36" s="884"/>
      <c r="E36" s="882">
        <v>1</v>
      </c>
      <c r="F36" s="885" t="s">
        <v>595</v>
      </c>
      <c r="G36" s="886"/>
      <c r="H36" s="878"/>
      <c r="I36" s="878"/>
    </row>
    <row r="37" spans="1:9" s="887" customFormat="1" ht="19.5" customHeight="1">
      <c r="A37" s="3287"/>
      <c r="B37" s="3287"/>
      <c r="C37" s="883" t="s">
        <v>596</v>
      </c>
      <c r="D37" s="884"/>
      <c r="E37" s="882">
        <v>1.5</v>
      </c>
      <c r="F37" s="885" t="s">
        <v>597</v>
      </c>
      <c r="G37" s="886"/>
      <c r="H37" s="878"/>
      <c r="I37" s="878"/>
    </row>
    <row r="38" spans="1:9" s="887" customFormat="1" ht="19.5" customHeight="1">
      <c r="A38" s="3287"/>
      <c r="B38" s="3287"/>
      <c r="C38" s="883" t="s">
        <v>598</v>
      </c>
      <c r="D38" s="884"/>
      <c r="E38" s="882">
        <v>1</v>
      </c>
      <c r="F38" s="885" t="s">
        <v>599</v>
      </c>
      <c r="G38" s="886"/>
      <c r="H38" s="878"/>
      <c r="I38" s="878"/>
    </row>
    <row r="39" spans="1:9" s="887" customFormat="1" ht="19.5" customHeight="1">
      <c r="A39" s="3287"/>
      <c r="B39" s="32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7" t="s">
        <v>614</v>
      </c>
      <c r="C61" s="818" t="s">
        <v>615</v>
      </c>
      <c r="D61" s="818" t="s">
        <v>616</v>
      </c>
      <c r="E61" s="895">
        <v>0.5</v>
      </c>
      <c r="F61" s="882">
        <v>80</v>
      </c>
    </row>
    <row r="62" spans="1:8" s="878" customFormat="1" ht="24">
      <c r="A62" s="882">
        <v>2</v>
      </c>
      <c r="B62" s="3287"/>
      <c r="C62" s="818" t="s">
        <v>617</v>
      </c>
      <c r="D62" s="818" t="s">
        <v>618</v>
      </c>
      <c r="E62" s="895">
        <v>0.5</v>
      </c>
      <c r="F62" s="882">
        <v>80</v>
      </c>
    </row>
    <row r="63" spans="1:8" s="878" customFormat="1" ht="36">
      <c r="A63" s="882">
        <v>3</v>
      </c>
      <c r="B63" s="3287"/>
      <c r="C63" s="818" t="s">
        <v>619</v>
      </c>
      <c r="D63" s="818" t="s">
        <v>620</v>
      </c>
      <c r="E63" s="895">
        <v>0.5</v>
      </c>
      <c r="F63" s="882">
        <v>80</v>
      </c>
    </row>
    <row r="64" spans="1:8" s="878" customFormat="1" ht="36">
      <c r="A64" s="882">
        <v>4</v>
      </c>
      <c r="B64" s="3287"/>
      <c r="C64" s="818" t="s">
        <v>621</v>
      </c>
      <c r="D64" s="818" t="s">
        <v>622</v>
      </c>
      <c r="E64" s="895">
        <v>0.4</v>
      </c>
      <c r="F64" s="882">
        <v>60</v>
      </c>
    </row>
    <row r="65" spans="1:6" s="878" customFormat="1" ht="36">
      <c r="A65" s="882">
        <v>5</v>
      </c>
      <c r="B65" s="3287"/>
      <c r="C65" s="818" t="s">
        <v>623</v>
      </c>
      <c r="D65" s="818" t="s">
        <v>624</v>
      </c>
      <c r="E65" s="895">
        <v>0.2</v>
      </c>
      <c r="F65" s="882">
        <v>30</v>
      </c>
    </row>
    <row r="66" spans="1:6" s="878" customFormat="1" ht="36">
      <c r="A66" s="882">
        <v>6</v>
      </c>
      <c r="B66" s="3287"/>
      <c r="C66" s="818" t="s">
        <v>625</v>
      </c>
      <c r="D66" s="818" t="s">
        <v>626</v>
      </c>
      <c r="E66" s="895">
        <v>0.3</v>
      </c>
      <c r="F66" s="882">
        <v>50</v>
      </c>
    </row>
    <row r="67" spans="1:6" s="878" customFormat="1" ht="36">
      <c r="A67" s="882">
        <v>7</v>
      </c>
      <c r="B67" s="3287"/>
      <c r="C67" s="818" t="s">
        <v>627</v>
      </c>
      <c r="D67" s="818" t="s">
        <v>628</v>
      </c>
      <c r="E67" s="895">
        <v>0.2</v>
      </c>
      <c r="F67" s="882">
        <v>30</v>
      </c>
    </row>
    <row r="68" spans="1:6" s="878" customFormat="1" ht="36">
      <c r="A68" s="882">
        <v>8</v>
      </c>
      <c r="B68" s="3287"/>
      <c r="C68" s="818" t="s">
        <v>629</v>
      </c>
      <c r="D68" s="818" t="s">
        <v>630</v>
      </c>
      <c r="E68" s="895">
        <v>0.2</v>
      </c>
      <c r="F68" s="882">
        <v>30</v>
      </c>
    </row>
    <row r="69" spans="1:6" s="878" customFormat="1" ht="36">
      <c r="A69" s="882">
        <v>9</v>
      </c>
      <c r="B69" s="3287"/>
      <c r="C69" s="818" t="s">
        <v>631</v>
      </c>
      <c r="D69" s="818" t="s">
        <v>632</v>
      </c>
      <c r="E69" s="895">
        <v>0.2</v>
      </c>
      <c r="F69" s="882">
        <v>30</v>
      </c>
    </row>
    <row r="70" spans="1:6" s="878" customFormat="1" ht="48">
      <c r="A70" s="882">
        <v>10</v>
      </c>
      <c r="B70" s="3287"/>
      <c r="C70" s="818" t="s">
        <v>633</v>
      </c>
      <c r="D70" s="818" t="s">
        <v>634</v>
      </c>
      <c r="E70" s="895">
        <v>0.2</v>
      </c>
      <c r="F70" s="882">
        <v>30</v>
      </c>
    </row>
    <row r="71" spans="1:6" s="878" customFormat="1" ht="48">
      <c r="A71" s="882">
        <v>11</v>
      </c>
      <c r="B71" s="3287"/>
      <c r="C71" s="818" t="s">
        <v>635</v>
      </c>
      <c r="D71" s="818" t="s">
        <v>636</v>
      </c>
      <c r="E71" s="895">
        <v>0.2</v>
      </c>
      <c r="F71" s="882">
        <v>30</v>
      </c>
    </row>
    <row r="72" spans="1:6" s="878" customFormat="1" ht="36">
      <c r="A72" s="882">
        <v>12</v>
      </c>
      <c r="B72" s="3287"/>
      <c r="C72" s="818" t="s">
        <v>637</v>
      </c>
      <c r="D72" s="818" t="s">
        <v>638</v>
      </c>
      <c r="E72" s="895">
        <v>0.5</v>
      </c>
      <c r="F72" s="882">
        <v>80</v>
      </c>
    </row>
    <row r="73" spans="1:6" s="878" customFormat="1" ht="24">
      <c r="A73" s="882">
        <v>13</v>
      </c>
      <c r="B73" s="3287"/>
      <c r="C73" s="818" t="s">
        <v>639</v>
      </c>
      <c r="D73" s="818" t="s">
        <v>640</v>
      </c>
      <c r="E73" s="895">
        <v>0.4</v>
      </c>
      <c r="F73" s="882">
        <v>60</v>
      </c>
    </row>
    <row r="74" spans="1:6" s="878" customFormat="1" ht="24">
      <c r="A74" s="882">
        <v>14</v>
      </c>
      <c r="B74" s="3287"/>
      <c r="C74" s="818" t="s">
        <v>641</v>
      </c>
      <c r="D74" s="818" t="s">
        <v>642</v>
      </c>
      <c r="E74" s="895">
        <v>0.2</v>
      </c>
      <c r="F74" s="882">
        <v>30</v>
      </c>
    </row>
    <row r="75" spans="1:6" s="878" customFormat="1" ht="24">
      <c r="A75" s="882">
        <v>15</v>
      </c>
      <c r="B75" s="3287"/>
      <c r="C75" s="818" t="s">
        <v>643</v>
      </c>
      <c r="D75" s="818" t="s">
        <v>644</v>
      </c>
      <c r="E75" s="895">
        <v>0.2</v>
      </c>
      <c r="F75" s="882">
        <v>30</v>
      </c>
    </row>
    <row r="76" spans="1:6" s="878" customFormat="1" ht="24">
      <c r="A76" s="882">
        <v>16</v>
      </c>
      <c r="B76" s="3287" t="s">
        <v>645</v>
      </c>
      <c r="C76" s="818" t="s">
        <v>646</v>
      </c>
      <c r="D76" s="818" t="s">
        <v>647</v>
      </c>
      <c r="E76" s="895">
        <v>0.5</v>
      </c>
      <c r="F76" s="882">
        <v>80</v>
      </c>
    </row>
    <row r="77" spans="1:6" s="878" customFormat="1" ht="24">
      <c r="A77" s="882">
        <v>17</v>
      </c>
      <c r="B77" s="3287"/>
      <c r="C77" s="818" t="s">
        <v>648</v>
      </c>
      <c r="D77" s="818" t="s">
        <v>649</v>
      </c>
      <c r="E77" s="895">
        <v>0.5</v>
      </c>
      <c r="F77" s="882">
        <v>80</v>
      </c>
    </row>
    <row r="78" spans="1:6" s="878" customFormat="1" ht="24">
      <c r="A78" s="882">
        <v>18</v>
      </c>
      <c r="B78" s="3287"/>
      <c r="C78" s="818" t="s">
        <v>650</v>
      </c>
      <c r="D78" s="818" t="s">
        <v>651</v>
      </c>
      <c r="E78" s="895">
        <v>0.2</v>
      </c>
      <c r="F78" s="882">
        <v>30</v>
      </c>
    </row>
    <row r="79" spans="1:6" s="878" customFormat="1" ht="24">
      <c r="A79" s="882">
        <v>19</v>
      </c>
      <c r="B79" s="3287"/>
      <c r="C79" s="818" t="s">
        <v>652</v>
      </c>
      <c r="D79" s="818" t="s">
        <v>653</v>
      </c>
      <c r="E79" s="895">
        <v>0.5</v>
      </c>
      <c r="F79" s="882">
        <v>80</v>
      </c>
    </row>
    <row r="80" spans="1:6" s="878" customFormat="1" ht="36">
      <c r="A80" s="882">
        <v>20</v>
      </c>
      <c r="B80" s="3287"/>
      <c r="C80" s="818" t="s">
        <v>654</v>
      </c>
      <c r="D80" s="818" t="s">
        <v>655</v>
      </c>
      <c r="E80" s="895">
        <v>0.2</v>
      </c>
      <c r="F80" s="882">
        <v>30</v>
      </c>
    </row>
    <row r="81" spans="1:6" s="878" customFormat="1" ht="36">
      <c r="A81" s="882">
        <v>21</v>
      </c>
      <c r="B81" s="3287"/>
      <c r="C81" s="818" t="s">
        <v>656</v>
      </c>
      <c r="D81" s="818" t="s">
        <v>657</v>
      </c>
      <c r="E81" s="895">
        <v>0.2</v>
      </c>
      <c r="F81" s="882">
        <v>30</v>
      </c>
    </row>
    <row r="82" spans="1:6" s="878" customFormat="1" ht="48">
      <c r="A82" s="882">
        <v>22</v>
      </c>
      <c r="B82" s="3287"/>
      <c r="C82" s="818" t="s">
        <v>658</v>
      </c>
      <c r="D82" s="818" t="s">
        <v>659</v>
      </c>
      <c r="E82" s="895">
        <v>0.2</v>
      </c>
      <c r="F82" s="882">
        <v>30</v>
      </c>
    </row>
    <row r="83" spans="1:6" s="878" customFormat="1" ht="48">
      <c r="A83" s="882">
        <v>23</v>
      </c>
      <c r="B83" s="3287"/>
      <c r="C83" s="818" t="s">
        <v>660</v>
      </c>
      <c r="D83" s="818" t="s">
        <v>661</v>
      </c>
      <c r="E83" s="895">
        <v>0.2</v>
      </c>
      <c r="F83" s="882">
        <v>30</v>
      </c>
    </row>
    <row r="84" spans="1:6" s="878" customFormat="1" ht="36">
      <c r="A84" s="882">
        <v>24</v>
      </c>
      <c r="B84" s="3287"/>
      <c r="C84" s="818" t="s">
        <v>662</v>
      </c>
      <c r="D84" s="818" t="s">
        <v>663</v>
      </c>
      <c r="E84" s="895">
        <v>0.2</v>
      </c>
      <c r="F84" s="882">
        <v>30</v>
      </c>
    </row>
    <row r="85" spans="1:6" s="878" customFormat="1" ht="36">
      <c r="A85" s="882">
        <v>25</v>
      </c>
      <c r="B85" s="3287"/>
      <c r="C85" s="818" t="s">
        <v>664</v>
      </c>
      <c r="D85" s="818" t="s">
        <v>665</v>
      </c>
      <c r="E85" s="895">
        <v>0.5</v>
      </c>
      <c r="F85" s="882">
        <v>80</v>
      </c>
    </row>
    <row r="86" spans="1:6" s="878" customFormat="1" ht="36">
      <c r="A86" s="882">
        <v>26</v>
      </c>
      <c r="B86" s="3287"/>
      <c r="C86" s="818" t="s">
        <v>666</v>
      </c>
      <c r="D86" s="818" t="s">
        <v>667</v>
      </c>
      <c r="E86" s="895">
        <v>0.2</v>
      </c>
      <c r="F86" s="882">
        <v>30</v>
      </c>
    </row>
    <row r="87" spans="1:6" s="878" customFormat="1" ht="36">
      <c r="A87" s="882">
        <v>27</v>
      </c>
      <c r="B87" s="3287"/>
      <c r="C87" s="818" t="s">
        <v>668</v>
      </c>
      <c r="D87" s="818" t="s">
        <v>669</v>
      </c>
      <c r="E87" s="895">
        <v>0.2</v>
      </c>
      <c r="F87" s="882">
        <v>30</v>
      </c>
    </row>
    <row r="88" spans="1:6" s="878" customFormat="1" ht="36">
      <c r="A88" s="882">
        <v>28</v>
      </c>
      <c r="B88" s="3287"/>
      <c r="C88" s="818" t="s">
        <v>670</v>
      </c>
      <c r="D88" s="818" t="s">
        <v>671</v>
      </c>
      <c r="E88" s="895">
        <v>0.2</v>
      </c>
      <c r="F88" s="882">
        <v>30</v>
      </c>
    </row>
    <row r="89" spans="1:6" s="878" customFormat="1" ht="24">
      <c r="A89" s="882">
        <v>29</v>
      </c>
      <c r="B89" s="3287"/>
      <c r="C89" s="818" t="s">
        <v>672</v>
      </c>
      <c r="D89" s="818" t="s">
        <v>673</v>
      </c>
      <c r="E89" s="895">
        <v>0.2</v>
      </c>
      <c r="F89" s="882">
        <v>30</v>
      </c>
    </row>
    <row r="90" spans="1:6" s="878" customFormat="1" ht="24">
      <c r="A90" s="882">
        <v>30</v>
      </c>
      <c r="B90" s="3287"/>
      <c r="C90" s="818" t="s">
        <v>674</v>
      </c>
      <c r="D90" s="818" t="s">
        <v>675</v>
      </c>
      <c r="E90" s="895">
        <v>0.2</v>
      </c>
      <c r="F90" s="882">
        <v>30</v>
      </c>
    </row>
    <row r="91" spans="1:6" s="878" customFormat="1" ht="36">
      <c r="A91" s="882">
        <v>31</v>
      </c>
      <c r="B91" s="3287"/>
      <c r="C91" s="818" t="s">
        <v>676</v>
      </c>
      <c r="D91" s="818" t="s">
        <v>677</v>
      </c>
      <c r="E91" s="895">
        <v>0.2</v>
      </c>
      <c r="F91" s="882">
        <v>30</v>
      </c>
    </row>
    <row r="92" spans="1:6" s="878" customFormat="1" ht="24">
      <c r="A92" s="882">
        <v>32</v>
      </c>
      <c r="B92" s="3287" t="s">
        <v>678</v>
      </c>
      <c r="C92" s="882" t="s">
        <v>679</v>
      </c>
      <c r="D92" s="818" t="s">
        <v>680</v>
      </c>
      <c r="E92" s="895">
        <v>0.2</v>
      </c>
      <c r="F92" s="882">
        <v>30</v>
      </c>
    </row>
    <row r="93" spans="1:6" s="878" customFormat="1" ht="36">
      <c r="A93" s="882">
        <v>33</v>
      </c>
      <c r="B93" s="3287"/>
      <c r="C93" s="882" t="s">
        <v>681</v>
      </c>
      <c r="D93" s="818" t="s">
        <v>682</v>
      </c>
      <c r="E93" s="895">
        <v>0.2</v>
      </c>
      <c r="F93" s="882">
        <v>30</v>
      </c>
    </row>
    <row r="94" spans="1:6" s="878" customFormat="1" ht="48">
      <c r="A94" s="882">
        <v>34</v>
      </c>
      <c r="B94" s="3287"/>
      <c r="C94" s="882" t="s">
        <v>683</v>
      </c>
      <c r="D94" s="818" t="s">
        <v>684</v>
      </c>
      <c r="E94" s="895">
        <v>0.2</v>
      </c>
      <c r="F94" s="882">
        <v>30</v>
      </c>
    </row>
    <row r="95" spans="1:6" s="878" customFormat="1" ht="36">
      <c r="A95" s="882">
        <v>35</v>
      </c>
      <c r="B95" s="3287"/>
      <c r="C95" s="882" t="s">
        <v>685</v>
      </c>
      <c r="D95" s="818" t="s">
        <v>686</v>
      </c>
      <c r="E95" s="895">
        <v>0.2</v>
      </c>
      <c r="F95" s="882">
        <v>30</v>
      </c>
    </row>
    <row r="96" spans="1:6" s="878" customFormat="1" ht="48">
      <c r="A96" s="882">
        <v>36</v>
      </c>
      <c r="B96" s="3287"/>
      <c r="C96" s="818" t="s">
        <v>687</v>
      </c>
      <c r="D96" s="818" t="s">
        <v>688</v>
      </c>
      <c r="E96" s="895">
        <v>0.2</v>
      </c>
      <c r="F96" s="882">
        <v>30</v>
      </c>
    </row>
    <row r="97" spans="1:6" s="878" customFormat="1" ht="36">
      <c r="A97" s="882">
        <v>37</v>
      </c>
      <c r="B97" s="3287"/>
      <c r="C97" s="882" t="s">
        <v>689</v>
      </c>
      <c r="D97" s="818" t="s">
        <v>690</v>
      </c>
      <c r="E97" s="895">
        <v>0.2</v>
      </c>
      <c r="F97" s="882">
        <v>30</v>
      </c>
    </row>
    <row r="98" spans="1:6" s="878" customFormat="1" ht="36">
      <c r="A98" s="882">
        <v>38</v>
      </c>
      <c r="B98" s="3287"/>
      <c r="C98" s="882" t="s">
        <v>691</v>
      </c>
      <c r="D98" s="818" t="s">
        <v>692</v>
      </c>
      <c r="E98" s="895">
        <v>0.2</v>
      </c>
      <c r="F98" s="882">
        <v>30</v>
      </c>
    </row>
    <row r="99" spans="1:6" s="878" customFormat="1" ht="36">
      <c r="A99" s="882">
        <v>39</v>
      </c>
      <c r="B99" s="3287" t="s">
        <v>693</v>
      </c>
      <c r="C99" s="882" t="s">
        <v>694</v>
      </c>
      <c r="D99" s="818" t="s">
        <v>695</v>
      </c>
      <c r="E99" s="895">
        <v>0.3</v>
      </c>
      <c r="F99" s="882">
        <v>50</v>
      </c>
    </row>
    <row r="100" spans="1:6" s="878" customFormat="1" ht="24">
      <c r="A100" s="882">
        <v>40</v>
      </c>
      <c r="B100" s="3287"/>
      <c r="C100" s="882" t="s">
        <v>696</v>
      </c>
      <c r="D100" s="818" t="s">
        <v>697</v>
      </c>
      <c r="E100" s="895">
        <v>0.2</v>
      </c>
      <c r="F100" s="882">
        <v>30</v>
      </c>
    </row>
    <row r="101" spans="1:6" s="878" customFormat="1" ht="36">
      <c r="A101" s="882">
        <v>41</v>
      </c>
      <c r="B101" s="32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7" t="s">
        <v>708</v>
      </c>
      <c r="C105" s="882" t="s">
        <v>709</v>
      </c>
      <c r="D105" s="818" t="s">
        <v>710</v>
      </c>
      <c r="E105" s="895">
        <v>0.2</v>
      </c>
      <c r="F105" s="882">
        <v>30</v>
      </c>
    </row>
    <row r="106" spans="1:6" s="878" customFormat="1" ht="36">
      <c r="A106" s="882">
        <v>46</v>
      </c>
      <c r="B106" s="3287"/>
      <c r="C106" s="882" t="s">
        <v>711</v>
      </c>
      <c r="D106" s="818" t="s">
        <v>712</v>
      </c>
      <c r="E106" s="895">
        <v>0.2</v>
      </c>
      <c r="F106" s="882">
        <v>30</v>
      </c>
    </row>
    <row r="107" spans="1:6" s="878" customFormat="1" ht="36">
      <c r="A107" s="882">
        <v>47</v>
      </c>
      <c r="B107" s="3287" t="s">
        <v>713</v>
      </c>
      <c r="C107" s="882" t="s">
        <v>714</v>
      </c>
      <c r="D107" s="818" t="s">
        <v>715</v>
      </c>
      <c r="E107" s="895">
        <v>0.3</v>
      </c>
      <c r="F107" s="882">
        <v>50</v>
      </c>
    </row>
    <row r="108" spans="1:6" s="878" customFormat="1" ht="36">
      <c r="A108" s="882">
        <v>48</v>
      </c>
      <c r="B108" s="32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7" t="s">
        <v>724</v>
      </c>
      <c r="C111" s="882" t="s">
        <v>725</v>
      </c>
      <c r="D111" s="818" t="s">
        <v>726</v>
      </c>
      <c r="E111" s="895">
        <v>0.2</v>
      </c>
      <c r="F111" s="882">
        <v>30</v>
      </c>
    </row>
    <row r="112" spans="1:6" s="878" customFormat="1" ht="24">
      <c r="A112" s="882">
        <v>52</v>
      </c>
      <c r="B112" s="3287"/>
      <c r="C112" s="882" t="s">
        <v>727</v>
      </c>
      <c r="D112" s="818" t="s">
        <v>728</v>
      </c>
      <c r="E112" s="895">
        <v>0.2</v>
      </c>
      <c r="F112" s="882">
        <v>30</v>
      </c>
    </row>
    <row r="113" spans="1:6" s="878" customFormat="1" ht="24">
      <c r="A113" s="882">
        <v>53</v>
      </c>
      <c r="B113" s="32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7" t="s">
        <v>737</v>
      </c>
      <c r="C116" s="882" t="s">
        <v>738</v>
      </c>
      <c r="D116" s="818" t="s">
        <v>739</v>
      </c>
      <c r="E116" s="895">
        <v>0.2</v>
      </c>
      <c r="F116" s="882">
        <v>30</v>
      </c>
    </row>
    <row r="117" spans="1:6" ht="36">
      <c r="A117" s="882">
        <v>57</v>
      </c>
      <c r="B117" s="32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0.88480000000000003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2995</v>
      </c>
    </row>
    <row r="2" spans="1:5" ht="15.75">
      <c r="A2" s="2910" t="s">
        <v>2987</v>
      </c>
      <c r="B2" s="2911">
        <f ca="1">SUMIF(B6:B13,"&lt;&gt;#ref!",B6:B13)</f>
        <v>0</v>
      </c>
      <c r="C2" s="2910" t="s">
        <v>2988</v>
      </c>
      <c r="D2" s="2910" t="s">
        <v>2989</v>
      </c>
      <c r="E2" s="2911">
        <f ca="1">SUMIF(E6:E13,"&lt;&gt;#ref!",E6:E13)</f>
        <v>0</v>
      </c>
    </row>
    <row r="3" spans="1:5" ht="15.75">
      <c r="A3" s="2910" t="s">
        <v>2990</v>
      </c>
      <c r="B3" s="2911" t="e">
        <f ca="1">ROUND(B2*10000/E2,0)</f>
        <v>#DIV/0!</v>
      </c>
      <c r="C3" s="2910" t="s">
        <v>2996</v>
      </c>
      <c r="D3" s="2912"/>
      <c r="E3" s="2912"/>
    </row>
    <row r="4" spans="1:5" ht="15.75">
      <c r="A4" s="2913"/>
      <c r="B4" s="2912"/>
      <c r="C4" s="2912"/>
      <c r="D4" s="2912"/>
      <c r="E4" s="2912"/>
    </row>
    <row r="5" spans="1:5" ht="28.5">
      <c r="A5" s="2914" t="s">
        <v>2991</v>
      </c>
      <c r="B5" s="2910" t="s">
        <v>2992</v>
      </c>
      <c r="C5" s="2911"/>
      <c r="D5" s="2912"/>
      <c r="E5" s="2910" t="s">
        <v>2993</v>
      </c>
    </row>
    <row r="6" spans="1:5" ht="15.75">
      <c r="A6" s="2915" t="s">
        <v>2994</v>
      </c>
      <c r="B6" s="2911">
        <f ca="1">SUMIF(INDIRECT("'"&amp;A6&amp;"'"&amp;"!A:A"),"总价",INDIRECT("'"&amp;A6&amp;"'"&amp;"!B:B"))</f>
        <v>0</v>
      </c>
      <c r="C6" s="2910" t="s">
        <v>2988</v>
      </c>
      <c r="D6" s="2912"/>
      <c r="E6" s="2577">
        <f ca="1">SUMIF(INDIRECT("'"&amp;A6&amp;"'"&amp;"!C:C"),"建筑面积",INDIRECT("'"&amp;A6&amp;"'"&amp;"!D:D"))</f>
        <v>0</v>
      </c>
    </row>
    <row r="7" spans="1:5" ht="15.75">
      <c r="A7" s="2915"/>
      <c r="B7" s="2911" t="e">
        <f ca="1">SUMIF(INDIRECT("'"&amp;A7&amp;"'"&amp;"!A:A"),"总价",INDIRECT("'"&amp;A7&amp;"'"&amp;"!B:B"))</f>
        <v>#REF!</v>
      </c>
      <c r="C7" s="2910" t="s">
        <v>2988</v>
      </c>
      <c r="D7" s="2912"/>
      <c r="E7" s="2577" t="e">
        <f t="shared" ref="E7:E13" ca="1" si="0">SUMIF(INDIRECT("'"&amp;A7&amp;"'"&amp;"!C:C"),"建筑面积",INDIRECT("'"&amp;A7&amp;"'"&amp;"!D:D"))</f>
        <v>#REF!</v>
      </c>
    </row>
    <row r="8" spans="1:5" ht="15.75">
      <c r="A8" s="2915"/>
      <c r="B8" s="2911" t="e">
        <f t="shared" ref="B8:B13" ca="1" si="1">SUMIF(INDIRECT("'"&amp;A8&amp;"'"&amp;"!A:A"),"总价",INDIRECT("'"&amp;A8&amp;"'"&amp;"!B:B"))</f>
        <v>#REF!</v>
      </c>
      <c r="C8" s="2910" t="s">
        <v>2988</v>
      </c>
      <c r="D8" s="2912"/>
      <c r="E8" s="2577" t="e">
        <f t="shared" ca="1" si="0"/>
        <v>#REF!</v>
      </c>
    </row>
    <row r="9" spans="1:5" ht="15.75">
      <c r="A9" s="2915"/>
      <c r="B9" s="2911" t="e">
        <f t="shared" ca="1" si="1"/>
        <v>#REF!</v>
      </c>
      <c r="C9" s="2910" t="s">
        <v>2988</v>
      </c>
      <c r="D9" s="2912"/>
      <c r="E9" s="2577" t="e">
        <f t="shared" ca="1" si="0"/>
        <v>#REF!</v>
      </c>
    </row>
    <row r="10" spans="1:5" ht="15.75">
      <c r="A10" s="2915"/>
      <c r="B10" s="2911" t="e">
        <f t="shared" ca="1" si="1"/>
        <v>#REF!</v>
      </c>
      <c r="C10" s="2910" t="s">
        <v>2988</v>
      </c>
      <c r="D10" s="2912"/>
      <c r="E10" s="2577" t="e">
        <f t="shared" ca="1" si="0"/>
        <v>#REF!</v>
      </c>
    </row>
    <row r="11" spans="1:5" ht="15.75">
      <c r="A11" s="2915"/>
      <c r="B11" s="2911" t="e">
        <f t="shared" ca="1" si="1"/>
        <v>#REF!</v>
      </c>
      <c r="C11" s="2910" t="s">
        <v>2988</v>
      </c>
      <c r="D11" s="2912"/>
      <c r="E11" s="2577" t="e">
        <f t="shared" ca="1" si="0"/>
        <v>#REF!</v>
      </c>
    </row>
    <row r="12" spans="1:5" ht="15.75">
      <c r="A12" s="2915"/>
      <c r="B12" s="2911" t="e">
        <f t="shared" ca="1" si="1"/>
        <v>#REF!</v>
      </c>
      <c r="C12" s="2910" t="s">
        <v>2988</v>
      </c>
      <c r="D12" s="2912"/>
      <c r="E12" s="2577" t="e">
        <f t="shared" ca="1" si="0"/>
        <v>#REF!</v>
      </c>
    </row>
    <row r="13" spans="1:5" ht="15.75">
      <c r="A13" s="2915"/>
      <c r="B13" s="2911" t="e">
        <f t="shared" ca="1" si="1"/>
        <v>#REF!</v>
      </c>
      <c r="C13" s="2910" t="s">
        <v>2988</v>
      </c>
      <c r="D13" s="2912"/>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3" t="s">
        <v>1150</v>
      </c>
      <c r="C1" s="3293"/>
      <c r="D1" s="3293"/>
      <c r="E1" s="3293"/>
      <c r="F1" s="3293"/>
      <c r="G1" s="3289" t="s">
        <v>1151</v>
      </c>
      <c r="H1" s="3289"/>
      <c r="I1" s="3289"/>
      <c r="J1" s="3289"/>
      <c r="K1" s="3289"/>
      <c r="L1" s="3289"/>
      <c r="N1" s="3289" t="s">
        <v>1152</v>
      </c>
      <c r="O1" s="3289"/>
      <c r="P1" s="3289"/>
      <c r="Q1" s="3289"/>
      <c r="R1" s="1449"/>
      <c r="S1" s="3289" t="s">
        <v>1153</v>
      </c>
      <c r="T1" s="3289"/>
      <c r="U1" s="3289"/>
      <c r="V1" s="3289"/>
      <c r="X1" s="3288" t="s">
        <v>1154</v>
      </c>
      <c r="Y1" s="3289"/>
      <c r="Z1" s="3289"/>
      <c r="AA1" s="3289"/>
      <c r="AB1" s="3289"/>
      <c r="AD1" s="3288" t="s">
        <v>1155</v>
      </c>
      <c r="AE1" s="3289"/>
      <c r="AF1" s="3289"/>
      <c r="AG1" s="3289"/>
      <c r="AH1" s="328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3028</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3036</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1">
        <v>2018</v>
      </c>
      <c r="H5" s="1733">
        <v>4</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8" t="s">
        <v>3029</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3037</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9"/>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3035</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9"/>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3027</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9"/>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3024</v>
      </c>
      <c r="B9" s="1472">
        <v>439</v>
      </c>
      <c r="C9" s="1472">
        <v>327</v>
      </c>
      <c r="D9" s="1472">
        <f>C9</f>
        <v>327</v>
      </c>
      <c r="E9" s="1472">
        <v>627</v>
      </c>
      <c r="F9" s="1473">
        <v>283</v>
      </c>
      <c r="G9" s="2926">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3025</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2"/>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1"/>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2"/>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94">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91"/>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91"/>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92"/>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90">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91"/>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91"/>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92"/>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90">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91"/>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91"/>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92"/>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95">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96"/>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96"/>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97"/>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90">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91"/>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91"/>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92"/>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90">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91">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91">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92">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90">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91">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91">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92">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90">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91">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91">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92">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90">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91">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91">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92">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90">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91">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91">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92">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90">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91">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91">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92">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90">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91">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91">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92">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90">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91">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91">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92">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90">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91">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91">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92">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90">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91">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91">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92">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48" activePane="bottomLeft" state="frozen"/>
      <selection activeCell="C50" sqref="C50"/>
      <selection pane="bottomLeft" activeCell="S170" sqref="R151:S17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99" t="s">
        <v>2998</v>
      </c>
      <c r="D1" s="3300"/>
      <c r="E1" s="3300"/>
      <c r="F1" s="3300"/>
      <c r="G1" s="3300"/>
      <c r="H1" s="3300"/>
      <c r="I1" s="3300"/>
      <c r="J1" s="3300"/>
      <c r="K1" s="3300"/>
      <c r="L1" s="3300"/>
      <c r="M1" s="3300"/>
      <c r="N1" s="3300"/>
      <c r="O1" s="3300"/>
      <c r="P1" s="3300"/>
      <c r="Q1" s="3300"/>
      <c r="R1" s="3300"/>
      <c r="S1" s="3301"/>
      <c r="T1" s="1207" t="s">
        <v>2999</v>
      </c>
    </row>
    <row r="2" spans="1:45" s="707" customFormat="1" ht="38.25">
      <c r="A2" s="1208"/>
      <c r="B2" s="703" t="s">
        <v>3000</v>
      </c>
      <c r="C2" s="704" t="str">
        <f t="shared" ref="C2:L2" si="0">C3&amp;"(含)"&amp;"-"&amp;D3</f>
        <v>0(含)-300</v>
      </c>
      <c r="D2" s="705" t="str">
        <f t="shared" si="0"/>
        <v>300(含)-600</v>
      </c>
      <c r="E2" s="705" t="str">
        <f t="shared" si="0"/>
        <v>600(含)-900</v>
      </c>
      <c r="F2" s="705" t="str">
        <f t="shared" si="0"/>
        <v>900(含)-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300</v>
      </c>
      <c r="E3" s="710">
        <v>600</v>
      </c>
      <c r="F3" s="1707">
        <v>900</v>
      </c>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103</v>
      </c>
      <c r="E4" s="1214">
        <v>106</v>
      </c>
      <c r="F4" s="1711">
        <v>109</v>
      </c>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3007</v>
      </c>
      <c r="B17" s="2917"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3009</v>
      </c>
      <c r="E19" s="1795"/>
      <c r="F19" s="1795"/>
      <c r="G19" s="1795"/>
      <c r="H19" s="1283"/>
      <c r="I19" s="168"/>
      <c r="J19" s="168"/>
      <c r="K19" s="168"/>
      <c r="L19" s="168"/>
      <c r="M19" s="168"/>
      <c r="N19" s="168"/>
      <c r="O19" s="168"/>
      <c r="P19" s="168"/>
      <c r="Q19" s="168"/>
      <c r="R19" s="788"/>
      <c r="S19" s="138"/>
    </row>
    <row r="20" spans="1:45" ht="16.5" thickBot="1">
      <c r="A20" s="715" t="s">
        <v>3010</v>
      </c>
      <c r="B20" s="338">
        <f ca="1">IF(D20="——",S22,S22-F20)</f>
        <v>808909</v>
      </c>
      <c r="C20" s="168"/>
      <c r="D20" s="2919" t="s">
        <v>70</v>
      </c>
      <c r="E20" s="1796"/>
      <c r="F20" s="1207" t="e">
        <f ca="1">SUMIF(INDIRECT("'"&amp;H20&amp;"'"&amp;"!A:A"),"承租人权益价值",INDIRECT("'"&amp;H20&amp;"'"&amp;"!c:c"))</f>
        <v>#REF!</v>
      </c>
      <c r="G20" s="1207" t="s">
        <v>3011</v>
      </c>
      <c r="H20" s="2920"/>
      <c r="I20" s="168"/>
      <c r="J20" s="168"/>
      <c r="K20" s="168"/>
      <c r="L20" s="168"/>
      <c r="M20" s="168"/>
      <c r="N20" s="168"/>
      <c r="O20" s="168"/>
      <c r="P20" s="168"/>
      <c r="Q20" s="168"/>
      <c r="R20" s="788"/>
      <c r="S20" s="138"/>
    </row>
    <row r="21" spans="1:45" ht="15.75">
      <c r="A21" s="715" t="s">
        <v>3012</v>
      </c>
      <c r="B21" s="338">
        <f ca="1">R22</f>
        <v>180432</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44831.790000000008</v>
      </c>
      <c r="C22" s="3079" t="s">
        <v>33</v>
      </c>
      <c r="D22" s="3080"/>
      <c r="E22" s="3080"/>
      <c r="F22" s="3080"/>
      <c r="G22" s="3080"/>
      <c r="H22" s="3080"/>
      <c r="I22" s="3080"/>
      <c r="J22" s="3080"/>
      <c r="K22" s="3080"/>
      <c r="L22" s="3080"/>
      <c r="M22" s="3080"/>
      <c r="N22" s="3080"/>
      <c r="O22" s="3080"/>
      <c r="P22" s="3080"/>
      <c r="Q22" s="3298"/>
      <c r="R22" s="716">
        <f ca="1">ROUND(S22*10000/B22,0)</f>
        <v>180432</v>
      </c>
      <c r="S22" s="24">
        <f ca="1">SUM(S24:S10000)</f>
        <v>808909</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5" t="s">
        <v>3815</v>
      </c>
      <c r="B24" s="718">
        <f>抵押物清单!E2</f>
        <v>273.05</v>
      </c>
      <c r="C24" s="719">
        <v>1</v>
      </c>
      <c r="D24" s="720"/>
      <c r="E24" s="719">
        <v>1</v>
      </c>
      <c r="F24" s="720"/>
      <c r="G24" s="719">
        <v>1</v>
      </c>
      <c r="H24" s="720"/>
      <c r="I24" s="719">
        <v>1</v>
      </c>
      <c r="J24" s="720"/>
      <c r="K24" s="719">
        <v>1</v>
      </c>
      <c r="L24" s="720"/>
      <c r="M24" s="719">
        <v>1</v>
      </c>
      <c r="N24" s="720"/>
      <c r="O24" s="719">
        <v>1</v>
      </c>
      <c r="P24" s="720"/>
      <c r="Q24" s="719">
        <v>1</v>
      </c>
      <c r="R24" s="721">
        <f ca="1">结果表!G20</f>
        <v>177617</v>
      </c>
      <c r="S24" s="719">
        <f t="shared" ref="S24:S54" ca="1" si="11">ROUND(R24*B24/10000,0)</f>
        <v>4850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抵押物清单!E3</f>
        <v>244.72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177617</v>
      </c>
      <c r="S25" s="361">
        <f t="shared" ca="1" si="11"/>
        <v>4347</v>
      </c>
    </row>
    <row r="26" spans="1:45">
      <c r="A26" s="159"/>
      <c r="B26" s="59">
        <f>抵押物清单!E4</f>
        <v>212.62</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177617</v>
      </c>
      <c r="S26" s="361">
        <f t="shared" ca="1" si="11"/>
        <v>3776</v>
      </c>
    </row>
    <row r="27" spans="1:45">
      <c r="A27" s="159"/>
      <c r="B27" s="59">
        <f>抵押物清单!E5</f>
        <v>250.73</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177617</v>
      </c>
      <c r="S27" s="361">
        <f t="shared" ca="1" si="11"/>
        <v>4453</v>
      </c>
    </row>
    <row r="28" spans="1:45">
      <c r="A28" s="159"/>
      <c r="B28" s="59">
        <f>抵押物清单!E6</f>
        <v>250.73</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177617</v>
      </c>
      <c r="S28" s="361">
        <f t="shared" ca="1" si="11"/>
        <v>4453</v>
      </c>
    </row>
    <row r="29" spans="1:45">
      <c r="A29" s="159"/>
      <c r="B29" s="59">
        <f>抵押物清单!E7</f>
        <v>217.88</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177617</v>
      </c>
      <c r="S29" s="361">
        <f t="shared" ca="1" si="11"/>
        <v>3870</v>
      </c>
    </row>
    <row r="30" spans="1:45">
      <c r="A30" s="159"/>
      <c r="B30" s="59">
        <f>抵押物清单!E8</f>
        <v>248.27</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177617</v>
      </c>
      <c r="S30" s="361">
        <f t="shared" ca="1" si="11"/>
        <v>4410</v>
      </c>
    </row>
    <row r="31" spans="1:45">
      <c r="A31" s="159"/>
      <c r="B31" s="59">
        <f>抵押物清单!E9</f>
        <v>217.88</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177617</v>
      </c>
      <c r="S31" s="361">
        <f t="shared" ca="1" si="11"/>
        <v>3870</v>
      </c>
    </row>
    <row r="32" spans="1:45">
      <c r="A32" s="159"/>
      <c r="B32" s="59">
        <f>抵押物清单!E10</f>
        <v>357.77</v>
      </c>
      <c r="C32" s="24">
        <f t="shared" si="12"/>
        <v>1.03</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182946</v>
      </c>
      <c r="S32" s="361">
        <f t="shared" ca="1" si="11"/>
        <v>6545</v>
      </c>
    </row>
    <row r="33" spans="1:19">
      <c r="A33" s="159"/>
      <c r="B33" s="59">
        <f>抵押物清单!E11</f>
        <v>412.36</v>
      </c>
      <c r="C33" s="24">
        <f t="shared" si="12"/>
        <v>1.03</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182946</v>
      </c>
      <c r="S33" s="361">
        <f t="shared" ca="1" si="11"/>
        <v>7544</v>
      </c>
    </row>
    <row r="34" spans="1:19">
      <c r="A34" s="159"/>
      <c r="B34" s="59">
        <f>抵押物清单!E12</f>
        <v>246.21</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177617</v>
      </c>
      <c r="S34" s="361">
        <f t="shared" ca="1" si="11"/>
        <v>4373</v>
      </c>
    </row>
    <row r="35" spans="1:19">
      <c r="A35" s="159"/>
      <c r="B35" s="59">
        <f>抵押物清单!E13</f>
        <v>246.21</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177617</v>
      </c>
      <c r="S35" s="361">
        <f t="shared" ca="1" si="11"/>
        <v>4373</v>
      </c>
    </row>
    <row r="36" spans="1:19">
      <c r="A36" s="159"/>
      <c r="B36" s="59">
        <f>抵押物清单!E14</f>
        <v>217.88</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177617</v>
      </c>
      <c r="S36" s="361">
        <f t="shared" ca="1" si="11"/>
        <v>3870</v>
      </c>
    </row>
    <row r="37" spans="1:19">
      <c r="A37" s="159"/>
      <c r="B37" s="59">
        <f>抵押物清单!E15</f>
        <v>246.21</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177617</v>
      </c>
      <c r="S37" s="361">
        <f t="shared" ca="1" si="11"/>
        <v>4373</v>
      </c>
    </row>
    <row r="38" spans="1:19">
      <c r="A38" s="159"/>
      <c r="B38" s="59">
        <f>抵押物清单!E16</f>
        <v>412.36</v>
      </c>
      <c r="C38" s="24">
        <f t="shared" si="12"/>
        <v>1.03</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182946</v>
      </c>
      <c r="S38" s="361">
        <f t="shared" ca="1" si="11"/>
        <v>7544</v>
      </c>
    </row>
    <row r="39" spans="1:19">
      <c r="A39" s="159"/>
      <c r="B39" s="59">
        <f>抵押物清单!E17</f>
        <v>357.77</v>
      </c>
      <c r="C39" s="24">
        <f t="shared" si="12"/>
        <v>1.03</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182946</v>
      </c>
      <c r="S39" s="361">
        <f t="shared" ca="1" si="11"/>
        <v>6545</v>
      </c>
    </row>
    <row r="40" spans="1:19">
      <c r="A40" s="159"/>
      <c r="B40" s="59">
        <f>抵押物清单!E18</f>
        <v>246.21</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177617</v>
      </c>
      <c r="S40" s="361">
        <f t="shared" ca="1" si="11"/>
        <v>4373</v>
      </c>
    </row>
    <row r="41" spans="1:19">
      <c r="A41" s="159"/>
      <c r="B41" s="59">
        <f>抵押物清单!E19</f>
        <v>246.21</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177617</v>
      </c>
      <c r="S41" s="361">
        <f t="shared" ca="1" si="11"/>
        <v>4373</v>
      </c>
    </row>
    <row r="42" spans="1:19">
      <c r="A42" s="159"/>
      <c r="B42" s="59">
        <f>抵押物清单!E20</f>
        <v>217.88</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ca="1" si="20"/>
        <v>177617</v>
      </c>
      <c r="S42" s="361">
        <f t="shared" ca="1" si="11"/>
        <v>3870</v>
      </c>
    </row>
    <row r="43" spans="1:19">
      <c r="A43" s="159"/>
      <c r="B43" s="59">
        <f>抵押物清单!E21</f>
        <v>217.88</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ca="1" si="20"/>
        <v>177617</v>
      </c>
      <c r="S43" s="361">
        <f t="shared" ca="1" si="11"/>
        <v>3870</v>
      </c>
    </row>
    <row r="44" spans="1:19">
      <c r="A44" s="159"/>
      <c r="B44" s="59">
        <f>抵押物清单!E22</f>
        <v>246.21</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ca="1" si="20"/>
        <v>177617</v>
      </c>
      <c r="S44" s="361">
        <f t="shared" ca="1" si="11"/>
        <v>4373</v>
      </c>
    </row>
    <row r="45" spans="1:19">
      <c r="A45" s="159"/>
      <c r="B45" s="59">
        <f>抵押物清单!E23</f>
        <v>217.88</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ca="1" si="20"/>
        <v>177617</v>
      </c>
      <c r="S45" s="361">
        <f t="shared" ca="1" si="11"/>
        <v>3870</v>
      </c>
    </row>
    <row r="46" spans="1:19">
      <c r="A46" s="159"/>
      <c r="B46" s="59">
        <f>抵押物清单!E24</f>
        <v>240.39</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ca="1" si="20"/>
        <v>177617</v>
      </c>
      <c r="S46" s="361">
        <f t="shared" ca="1" si="11"/>
        <v>4270</v>
      </c>
    </row>
    <row r="47" spans="1:19">
      <c r="A47" s="159"/>
      <c r="B47" s="59">
        <f>抵押物清单!E25</f>
        <v>248.58</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ca="1" si="20"/>
        <v>177617</v>
      </c>
      <c r="S47" s="361">
        <f t="shared" ca="1" si="11"/>
        <v>4415</v>
      </c>
    </row>
    <row r="48" spans="1:19">
      <c r="A48" s="159"/>
      <c r="B48" s="59">
        <f>抵押物清单!E26</f>
        <v>248.58</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ca="1" si="20"/>
        <v>177617</v>
      </c>
      <c r="S48" s="361">
        <f t="shared" ca="1" si="11"/>
        <v>4415</v>
      </c>
    </row>
    <row r="49" spans="1:19">
      <c r="A49" s="159"/>
      <c r="B49" s="59">
        <f>抵押物清单!E27</f>
        <v>212.61</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ca="1" si="20"/>
        <v>177617</v>
      </c>
      <c r="S49" s="361">
        <f t="shared" ca="1" si="11"/>
        <v>3776</v>
      </c>
    </row>
    <row r="50" spans="1:19">
      <c r="A50" s="159"/>
      <c r="B50" s="59">
        <f>抵押物清单!E28</f>
        <v>413.63</v>
      </c>
      <c r="C50" s="24">
        <f t="shared" si="12"/>
        <v>1.03</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ca="1" si="20"/>
        <v>182946</v>
      </c>
      <c r="S50" s="361">
        <f t="shared" ca="1" si="11"/>
        <v>7567</v>
      </c>
    </row>
    <row r="51" spans="1:19">
      <c r="A51" s="159"/>
      <c r="B51" s="59">
        <f>抵押物清单!E29</f>
        <v>369.09</v>
      </c>
      <c r="C51" s="24">
        <f t="shared" si="12"/>
        <v>1.03</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ca="1" si="20"/>
        <v>182946</v>
      </c>
      <c r="S51" s="361">
        <f t="shared" ca="1" si="11"/>
        <v>6752</v>
      </c>
    </row>
    <row r="52" spans="1:19">
      <c r="A52" s="159"/>
      <c r="B52" s="59">
        <f>抵押物清单!E30</f>
        <v>243.12</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ca="1" si="20"/>
        <v>177617</v>
      </c>
      <c r="S52" s="361">
        <f t="shared" ca="1" si="11"/>
        <v>4318</v>
      </c>
    </row>
    <row r="53" spans="1:19">
      <c r="A53" s="159"/>
      <c r="B53" s="59">
        <f>抵押物清单!E31</f>
        <v>249.14</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ca="1" si="20"/>
        <v>177617</v>
      </c>
      <c r="S53" s="361">
        <f t="shared" ca="1" si="11"/>
        <v>4425</v>
      </c>
    </row>
    <row r="54" spans="1:19">
      <c r="A54" s="159"/>
      <c r="B54" s="59">
        <f>抵押物清单!E32</f>
        <v>218.38</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ca="1" si="20"/>
        <v>177617</v>
      </c>
      <c r="S54" s="361">
        <f t="shared" ca="1" si="11"/>
        <v>3879</v>
      </c>
    </row>
    <row r="55" spans="1:19">
      <c r="A55" s="159"/>
      <c r="B55" s="59">
        <f>抵押物清单!E33</f>
        <v>249.14</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ca="1" si="20"/>
        <v>177617</v>
      </c>
      <c r="S55" s="361">
        <f t="shared" ref="S55:S77" ca="1" si="21">ROUND(R55*B55/10000,0)</f>
        <v>4425</v>
      </c>
    </row>
    <row r="56" spans="1:19">
      <c r="A56" s="159"/>
      <c r="B56" s="59">
        <f>抵押物清单!E34</f>
        <v>218.38</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ca="1" si="20"/>
        <v>177617</v>
      </c>
      <c r="S56" s="361">
        <f t="shared" ca="1" si="21"/>
        <v>3879</v>
      </c>
    </row>
    <row r="57" spans="1:19">
      <c r="A57" s="159"/>
      <c r="B57" s="59">
        <f>抵押物清单!E35</f>
        <v>249.14</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ca="1" si="20"/>
        <v>177617</v>
      </c>
      <c r="S57" s="361">
        <f t="shared" ca="1" si="21"/>
        <v>4425</v>
      </c>
    </row>
    <row r="58" spans="1:19">
      <c r="A58" s="159"/>
      <c r="B58" s="59">
        <f>抵押物清单!E36</f>
        <v>231.77</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ca="1" si="20"/>
        <v>177617</v>
      </c>
      <c r="S58" s="361">
        <f t="shared" ca="1" si="21"/>
        <v>4117</v>
      </c>
    </row>
    <row r="59" spans="1:19">
      <c r="A59" s="159"/>
      <c r="B59" s="59">
        <f>抵押物清单!E37</f>
        <v>358.32</v>
      </c>
      <c r="C59" s="24">
        <f t="shared" si="12"/>
        <v>1.03</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ca="1" si="20"/>
        <v>182946</v>
      </c>
      <c r="S59" s="361">
        <f t="shared" ca="1" si="21"/>
        <v>6555</v>
      </c>
    </row>
    <row r="60" spans="1:19">
      <c r="A60" s="159"/>
      <c r="B60" s="59">
        <f>抵押物清单!E38</f>
        <v>358.32</v>
      </c>
      <c r="C60" s="24">
        <f t="shared" si="12"/>
        <v>1.03</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ca="1" si="20"/>
        <v>182946</v>
      </c>
      <c r="S60" s="361">
        <f t="shared" ca="1" si="21"/>
        <v>6555</v>
      </c>
    </row>
    <row r="61" spans="1:19">
      <c r="A61" s="159"/>
      <c r="B61" s="59">
        <f>抵押物清单!E39</f>
        <v>213.1</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ca="1" si="20"/>
        <v>177617</v>
      </c>
      <c r="S61" s="361">
        <f t="shared" ca="1" si="21"/>
        <v>3785</v>
      </c>
    </row>
    <row r="62" spans="1:19">
      <c r="A62" s="159"/>
      <c r="B62" s="59">
        <f>抵押物清单!E40</f>
        <v>218.38</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ca="1" si="20"/>
        <v>177617</v>
      </c>
      <c r="S62" s="361">
        <f t="shared" ca="1" si="21"/>
        <v>3879</v>
      </c>
    </row>
    <row r="63" spans="1:19">
      <c r="A63" s="159"/>
      <c r="B63" s="59">
        <f>抵押物清单!E41</f>
        <v>218.38</v>
      </c>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ca="1" si="20"/>
        <v>177617</v>
      </c>
      <c r="S63" s="361">
        <f t="shared" ca="1" si="21"/>
        <v>3879</v>
      </c>
    </row>
    <row r="64" spans="1:19">
      <c r="A64" s="159"/>
      <c r="B64" s="59">
        <f>抵押物清单!E42</f>
        <v>413.63</v>
      </c>
      <c r="C64" s="24">
        <f t="shared" si="12"/>
        <v>1.03</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ca="1" si="20"/>
        <v>182946</v>
      </c>
      <c r="S64" s="361">
        <f t="shared" ca="1" si="21"/>
        <v>7567</v>
      </c>
    </row>
    <row r="65" spans="1:19">
      <c r="A65" s="159"/>
      <c r="B65" s="59">
        <f>抵押物清单!E43</f>
        <v>218.38</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ca="1" si="20"/>
        <v>177617</v>
      </c>
      <c r="S65" s="361">
        <f t="shared" ca="1" si="21"/>
        <v>3879</v>
      </c>
    </row>
    <row r="66" spans="1:19">
      <c r="A66" s="159"/>
      <c r="B66" s="59">
        <f>抵押物清单!E44</f>
        <v>251.3</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ca="1" si="20"/>
        <v>177617</v>
      </c>
      <c r="S66" s="361">
        <f t="shared" ca="1" si="21"/>
        <v>4464</v>
      </c>
    </row>
    <row r="67" spans="1:19">
      <c r="A67" s="159"/>
      <c r="B67" s="59">
        <f>抵押物清单!E45</f>
        <v>218.38</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ca="1" si="20"/>
        <v>177617</v>
      </c>
      <c r="S67" s="361">
        <f t="shared" ca="1" si="21"/>
        <v>3879</v>
      </c>
    </row>
    <row r="68" spans="1:19">
      <c r="A68" s="159"/>
      <c r="B68" s="59">
        <f>抵押物清单!E46</f>
        <v>249.14</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ca="1" si="20"/>
        <v>177617</v>
      </c>
      <c r="S68" s="361">
        <f t="shared" ca="1" si="21"/>
        <v>4425</v>
      </c>
    </row>
    <row r="69" spans="1:19">
      <c r="A69" s="159"/>
      <c r="B69" s="59">
        <f>抵押物清单!E47</f>
        <v>231.77</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ca="1" si="20"/>
        <v>177617</v>
      </c>
      <c r="S69" s="361">
        <f t="shared" ca="1" si="21"/>
        <v>4117</v>
      </c>
    </row>
    <row r="70" spans="1:19">
      <c r="A70" s="159"/>
      <c r="B70" s="59">
        <f>抵押物清单!E48</f>
        <v>271.39999999999998</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ca="1" si="20"/>
        <v>177617</v>
      </c>
      <c r="S70" s="361">
        <f t="shared" ca="1" si="21"/>
        <v>4821</v>
      </c>
    </row>
    <row r="71" spans="1:19">
      <c r="A71" s="159"/>
      <c r="B71" s="59">
        <f>抵押物清单!E49</f>
        <v>243.26</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ca="1" si="20"/>
        <v>177617</v>
      </c>
      <c r="S71" s="361">
        <f t="shared" ca="1" si="21"/>
        <v>4321</v>
      </c>
    </row>
    <row r="72" spans="1:19">
      <c r="A72" s="159"/>
      <c r="B72" s="59">
        <f>抵押物清单!E50</f>
        <v>279.39999999999998</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ca="1" si="20"/>
        <v>177617</v>
      </c>
      <c r="S72" s="361">
        <f t="shared" ca="1" si="21"/>
        <v>4963</v>
      </c>
    </row>
    <row r="73" spans="1:19">
      <c r="A73" s="159"/>
      <c r="B73" s="59">
        <f>抵押物清单!E51</f>
        <v>250.61</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ca="1" si="20"/>
        <v>177617</v>
      </c>
      <c r="S73" s="361">
        <f t="shared" ca="1" si="21"/>
        <v>4451</v>
      </c>
    </row>
    <row r="74" spans="1:19">
      <c r="A74" s="159"/>
      <c r="B74" s="59">
        <f>抵押物清单!E52</f>
        <v>446.02</v>
      </c>
      <c r="C74" s="24">
        <f t="shared" si="12"/>
        <v>1.03</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ca="1" si="20"/>
        <v>182946</v>
      </c>
      <c r="S74" s="361">
        <f t="shared" ca="1" si="21"/>
        <v>8160</v>
      </c>
    </row>
    <row r="75" spans="1:19">
      <c r="A75" s="159"/>
      <c r="B75" s="59">
        <f>抵押物清单!E53</f>
        <v>243.26</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ca="1" si="20"/>
        <v>177617</v>
      </c>
      <c r="S75" s="361">
        <f t="shared" ca="1" si="21"/>
        <v>4321</v>
      </c>
    </row>
    <row r="76" spans="1:19">
      <c r="A76" s="159"/>
      <c r="B76" s="59">
        <f>抵押物清单!E54</f>
        <v>276.87</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ca="1" si="20"/>
        <v>177617</v>
      </c>
      <c r="S76" s="361">
        <f t="shared" ca="1" si="21"/>
        <v>4918</v>
      </c>
    </row>
    <row r="77" spans="1:19">
      <c r="A77" s="159"/>
      <c r="B77" s="59">
        <f>抵押物清单!E55</f>
        <v>242.22</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ca="1" si="20"/>
        <v>177617</v>
      </c>
      <c r="S77" s="361">
        <f t="shared" ca="1" si="21"/>
        <v>4302</v>
      </c>
    </row>
    <row r="78" spans="1:19">
      <c r="A78" s="159"/>
      <c r="B78" s="59">
        <f>抵押物清单!E56</f>
        <v>548.17999999999995</v>
      </c>
      <c r="C78" s="24">
        <f t="shared" si="12"/>
        <v>1.03</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ca="1" si="20"/>
        <v>182946</v>
      </c>
      <c r="S78" s="361">
        <f t="shared" ref="S78:S122" ca="1" si="22">ROUND(R78*B78/10000,0)</f>
        <v>10029</v>
      </c>
    </row>
    <row r="79" spans="1:19">
      <c r="A79" s="159"/>
      <c r="B79" s="59">
        <f>抵押物清单!E57</f>
        <v>452.58</v>
      </c>
      <c r="C79" s="24">
        <f t="shared" si="12"/>
        <v>1.03</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ca="1" si="20"/>
        <v>182946</v>
      </c>
      <c r="S79" s="361">
        <f t="shared" ca="1" si="22"/>
        <v>8280</v>
      </c>
    </row>
    <row r="80" spans="1:19">
      <c r="A80" s="159"/>
      <c r="B80" s="59">
        <f>抵押物清单!E58</f>
        <v>324.52</v>
      </c>
      <c r="C80" s="24">
        <f t="shared" si="12"/>
        <v>1.03</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ca="1" si="20"/>
        <v>182946</v>
      </c>
      <c r="S80" s="361">
        <f t="shared" ca="1" si="22"/>
        <v>5937</v>
      </c>
    </row>
    <row r="81" spans="1:19">
      <c r="A81" s="159"/>
      <c r="B81" s="59">
        <f>抵押物清单!E59</f>
        <v>263.66000000000003</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ca="1" si="20"/>
        <v>177617</v>
      </c>
      <c r="S81" s="361">
        <f t="shared" ca="1" si="22"/>
        <v>4683</v>
      </c>
    </row>
    <row r="82" spans="1:19">
      <c r="A82" s="159"/>
      <c r="B82" s="59">
        <f>抵押物清单!E60</f>
        <v>331.65</v>
      </c>
      <c r="C82" s="24">
        <f t="shared" si="12"/>
        <v>1.03</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ca="1" si="20"/>
        <v>182946</v>
      </c>
      <c r="S82" s="361">
        <f t="shared" ca="1" si="22"/>
        <v>6067</v>
      </c>
    </row>
    <row r="83" spans="1:19">
      <c r="A83" s="159"/>
      <c r="B83" s="59">
        <f>抵押物清单!E61</f>
        <v>269.95999999999998</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ca="1" si="20"/>
        <v>177617</v>
      </c>
      <c r="S83" s="361">
        <f t="shared" ca="1" si="22"/>
        <v>4795</v>
      </c>
    </row>
    <row r="84" spans="1:19">
      <c r="A84" s="159"/>
      <c r="B84" s="59">
        <f>抵押物清单!E62</f>
        <v>331.65</v>
      </c>
      <c r="C84" s="24">
        <f t="shared" si="12"/>
        <v>1.03</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ca="1" si="20"/>
        <v>182946</v>
      </c>
      <c r="S84" s="361">
        <f t="shared" ca="1" si="22"/>
        <v>6067</v>
      </c>
    </row>
    <row r="85" spans="1:19">
      <c r="A85" s="159"/>
      <c r="B85" s="59">
        <f>抵押物清单!E63</f>
        <v>329.24</v>
      </c>
      <c r="C85" s="24">
        <f t="shared" si="12"/>
        <v>1.03</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ca="1" si="20"/>
        <v>182946</v>
      </c>
      <c r="S85" s="361">
        <f t="shared" ca="1" si="22"/>
        <v>6023</v>
      </c>
    </row>
    <row r="86" spans="1:19">
      <c r="A86" s="159"/>
      <c r="B86" s="59">
        <f>抵押物清单!E64</f>
        <v>269.95999999999998</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ca="1" si="20"/>
        <v>177617</v>
      </c>
      <c r="S86" s="361">
        <f t="shared" ca="1" si="22"/>
        <v>4795</v>
      </c>
    </row>
    <row r="87" spans="1:19">
      <c r="A87" s="159"/>
      <c r="B87" s="59">
        <f>抵押物清单!E65</f>
        <v>308.76</v>
      </c>
      <c r="C87" s="24">
        <f t="shared" si="12"/>
        <v>1.03</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ca="1" si="20"/>
        <v>182946</v>
      </c>
      <c r="S87" s="361">
        <f t="shared" ca="1" si="22"/>
        <v>5649</v>
      </c>
    </row>
    <row r="88" spans="1:19">
      <c r="A88" s="159"/>
      <c r="B88" s="59">
        <f>抵押物清单!E66</f>
        <v>208.53</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ca="1" si="20"/>
        <v>177617</v>
      </c>
      <c r="S88" s="361">
        <f t="shared" ca="1" si="22"/>
        <v>3704</v>
      </c>
    </row>
    <row r="89" spans="1:19">
      <c r="A89" s="159"/>
      <c r="B89" s="59">
        <f>抵押物清单!E67</f>
        <v>212.71</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ca="1" si="20"/>
        <v>177617</v>
      </c>
      <c r="S89" s="361">
        <f t="shared" ca="1" si="22"/>
        <v>3778</v>
      </c>
    </row>
    <row r="90" spans="1:19">
      <c r="A90" s="159"/>
      <c r="B90" s="59">
        <f>抵押物清单!E68</f>
        <v>212.71</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ca="1" si="31">IF(B90="",0,ROUND($R$24*C90*E90*G90*I90*K90*M90*O90*Q90,0))</f>
        <v>177617</v>
      </c>
      <c r="S90" s="361">
        <f t="shared" ca="1" si="22"/>
        <v>3778</v>
      </c>
    </row>
    <row r="91" spans="1:19">
      <c r="A91" s="159"/>
      <c r="B91" s="59">
        <f>抵押物清单!E69</f>
        <v>213.7</v>
      </c>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ca="1" si="31"/>
        <v>177617</v>
      </c>
      <c r="S91" s="361">
        <f t="shared" ca="1" si="22"/>
        <v>3796</v>
      </c>
    </row>
    <row r="92" spans="1:19">
      <c r="A92" s="159"/>
      <c r="B92" s="59">
        <f>抵押物清单!E70</f>
        <v>208.52</v>
      </c>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ca="1" si="31"/>
        <v>177617</v>
      </c>
      <c r="S92" s="361">
        <f t="shared" ca="1" si="22"/>
        <v>3704</v>
      </c>
    </row>
    <row r="93" spans="1:19">
      <c r="A93" s="159"/>
      <c r="B93" s="59">
        <f>抵押物清单!E71</f>
        <v>208.52</v>
      </c>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ca="1" si="31"/>
        <v>177617</v>
      </c>
      <c r="S93" s="361">
        <f t="shared" ca="1" si="22"/>
        <v>3704</v>
      </c>
    </row>
    <row r="94" spans="1:19">
      <c r="A94" s="159"/>
      <c r="B94" s="59">
        <f>抵押物清单!E72</f>
        <v>454.39</v>
      </c>
      <c r="C94" s="24">
        <f t="shared" si="23"/>
        <v>1.03</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ca="1" si="31"/>
        <v>182946</v>
      </c>
      <c r="S94" s="361">
        <f t="shared" ca="1" si="22"/>
        <v>8313</v>
      </c>
    </row>
    <row r="95" spans="1:19">
      <c r="A95" s="159"/>
      <c r="B95" s="59">
        <f>抵押物清单!E73</f>
        <v>264.37</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ca="1" si="31"/>
        <v>177617</v>
      </c>
      <c r="S95" s="361">
        <f t="shared" ca="1" si="22"/>
        <v>4696</v>
      </c>
    </row>
    <row r="96" spans="1:19">
      <c r="A96" s="159"/>
      <c r="B96" s="59">
        <f>抵押物清单!E74</f>
        <v>270.7</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ca="1" si="31"/>
        <v>177617</v>
      </c>
      <c r="S96" s="361">
        <f t="shared" ca="1" si="22"/>
        <v>4808</v>
      </c>
    </row>
    <row r="97" spans="1:19">
      <c r="A97" s="159"/>
      <c r="B97" s="59">
        <f>抵押物清单!E75</f>
        <v>270.7</v>
      </c>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ca="1" si="31"/>
        <v>177617</v>
      </c>
      <c r="S97" s="361">
        <f t="shared" ca="1" si="22"/>
        <v>4808</v>
      </c>
    </row>
    <row r="98" spans="1:19">
      <c r="A98" s="159"/>
      <c r="B98" s="59">
        <f>抵押物清单!E76</f>
        <v>331.65</v>
      </c>
      <c r="C98" s="24">
        <f t="shared" si="23"/>
        <v>1.03</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ca="1" si="31"/>
        <v>182946</v>
      </c>
      <c r="S98" s="361">
        <f t="shared" ca="1" si="22"/>
        <v>6067</v>
      </c>
    </row>
    <row r="99" spans="1:19">
      <c r="A99" s="159"/>
      <c r="B99" s="59">
        <f>抵押物清单!E77</f>
        <v>270.7</v>
      </c>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ca="1" si="31"/>
        <v>177617</v>
      </c>
      <c r="S99" s="361">
        <f t="shared" ca="1" si="22"/>
        <v>4808</v>
      </c>
    </row>
    <row r="100" spans="1:19">
      <c r="A100" s="159"/>
      <c r="B100" s="59">
        <f>抵押物清单!E78</f>
        <v>329.24</v>
      </c>
      <c r="C100" s="24">
        <f t="shared" si="23"/>
        <v>1.03</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ca="1" si="31"/>
        <v>182946</v>
      </c>
      <c r="S100" s="361">
        <f t="shared" ca="1" si="22"/>
        <v>6023</v>
      </c>
    </row>
    <row r="101" spans="1:19">
      <c r="A101" s="159"/>
      <c r="B101" s="59">
        <f>抵押物清单!E79</f>
        <v>465.41</v>
      </c>
      <c r="C101" s="24">
        <f t="shared" si="23"/>
        <v>1.03</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ca="1" si="31"/>
        <v>182946</v>
      </c>
      <c r="S101" s="361">
        <f t="shared" ca="1" si="22"/>
        <v>8514</v>
      </c>
    </row>
    <row r="102" spans="1:19">
      <c r="A102" s="159"/>
      <c r="B102" s="59">
        <f>抵押物清单!E80</f>
        <v>275.32</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ca="1" si="31"/>
        <v>177617</v>
      </c>
      <c r="S102" s="361">
        <f t="shared" ca="1" si="22"/>
        <v>4890</v>
      </c>
    </row>
    <row r="103" spans="1:19">
      <c r="A103" s="159"/>
      <c r="B103" s="59">
        <f>抵押物清单!E81</f>
        <v>275.32</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ca="1" si="31"/>
        <v>177617</v>
      </c>
      <c r="S103" s="361">
        <f t="shared" ca="1" si="22"/>
        <v>4890</v>
      </c>
    </row>
    <row r="104" spans="1:19">
      <c r="A104" s="159"/>
      <c r="B104" s="59">
        <f>抵押物清单!E82</f>
        <v>274.91000000000003</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ca="1" si="31"/>
        <v>177617</v>
      </c>
      <c r="S104" s="361">
        <f t="shared" ca="1" si="22"/>
        <v>4883</v>
      </c>
    </row>
    <row r="105" spans="1:19">
      <c r="A105" s="159"/>
      <c r="B105" s="59">
        <f>抵押物清单!E83</f>
        <v>272.58999999999997</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ca="1" si="31"/>
        <v>177617</v>
      </c>
      <c r="S105" s="361">
        <f t="shared" ca="1" si="22"/>
        <v>4842</v>
      </c>
    </row>
    <row r="106" spans="1:19">
      <c r="A106" s="159"/>
      <c r="B106" s="59">
        <f>抵押物清单!E84</f>
        <v>464.87</v>
      </c>
      <c r="C106" s="24">
        <f t="shared" si="23"/>
        <v>1.03</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ca="1" si="31"/>
        <v>182946</v>
      </c>
      <c r="S106" s="361">
        <f t="shared" ca="1" si="22"/>
        <v>8505</v>
      </c>
    </row>
    <row r="107" spans="1:19">
      <c r="A107" s="159"/>
      <c r="B107" s="59">
        <f>抵押物清单!E85</f>
        <v>562.08000000000004</v>
      </c>
      <c r="C107" s="24">
        <f t="shared" si="23"/>
        <v>1.03</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ca="1" si="31"/>
        <v>182946</v>
      </c>
      <c r="S107" s="361">
        <f t="shared" ca="1" si="22"/>
        <v>10283</v>
      </c>
    </row>
    <row r="108" spans="1:19">
      <c r="A108" s="159"/>
      <c r="B108" s="59">
        <f>抵押物清单!E86</f>
        <v>328.75</v>
      </c>
      <c r="C108" s="24">
        <f t="shared" si="23"/>
        <v>1.03</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ca="1" si="31"/>
        <v>182946</v>
      </c>
      <c r="S108" s="361">
        <f t="shared" ca="1" si="22"/>
        <v>6014</v>
      </c>
    </row>
    <row r="109" spans="1:19">
      <c r="A109" s="159"/>
      <c r="B109" s="59">
        <f>抵押物清单!E87</f>
        <v>275.11</v>
      </c>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ca="1" si="31"/>
        <v>177617</v>
      </c>
      <c r="S109" s="361">
        <f t="shared" ca="1" si="22"/>
        <v>4886</v>
      </c>
    </row>
    <row r="110" spans="1:19">
      <c r="A110" s="159"/>
      <c r="B110" s="59">
        <f>抵押物清单!E88</f>
        <v>338.27</v>
      </c>
      <c r="C110" s="24">
        <f t="shared" si="23"/>
        <v>1.03</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ca="1" si="31"/>
        <v>182946</v>
      </c>
      <c r="S110" s="361">
        <f t="shared" ca="1" si="22"/>
        <v>6189</v>
      </c>
    </row>
    <row r="111" spans="1:19">
      <c r="A111" s="159"/>
      <c r="B111" s="59">
        <f>抵押物清单!E89</f>
        <v>335.88</v>
      </c>
      <c r="C111" s="24">
        <f t="shared" si="23"/>
        <v>1.03</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ca="1" si="31"/>
        <v>182946</v>
      </c>
      <c r="S111" s="361">
        <f t="shared" ca="1" si="22"/>
        <v>6145</v>
      </c>
    </row>
    <row r="112" spans="1:19">
      <c r="A112" s="159"/>
      <c r="B112" s="59">
        <f>抵押物清单!E90</f>
        <v>312.81</v>
      </c>
      <c r="C112" s="24">
        <f t="shared" si="23"/>
        <v>1.03</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ca="1" si="31"/>
        <v>182946</v>
      </c>
      <c r="S112" s="361">
        <f t="shared" ca="1" si="22"/>
        <v>5723</v>
      </c>
    </row>
    <row r="113" spans="1:19">
      <c r="A113" s="159"/>
      <c r="B113" s="59">
        <f>抵押物清单!E91</f>
        <v>548.25</v>
      </c>
      <c r="C113" s="24">
        <f t="shared" si="23"/>
        <v>1.03</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ca="1" si="31"/>
        <v>182946</v>
      </c>
      <c r="S113" s="361">
        <f t="shared" ca="1" si="22"/>
        <v>10030</v>
      </c>
    </row>
    <row r="114" spans="1:19">
      <c r="A114" s="159"/>
      <c r="B114" s="59">
        <f>抵押物清单!E92</f>
        <v>452.97</v>
      </c>
      <c r="C114" s="24">
        <f t="shared" si="23"/>
        <v>1.03</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ca="1" si="31"/>
        <v>182946</v>
      </c>
      <c r="S114" s="361">
        <f t="shared" ca="1" si="22"/>
        <v>8287</v>
      </c>
    </row>
    <row r="115" spans="1:19">
      <c r="A115" s="159"/>
      <c r="B115" s="59">
        <f>抵押物清单!E93</f>
        <v>263.64999999999998</v>
      </c>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ca="1" si="31"/>
        <v>177617</v>
      </c>
      <c r="S115" s="361">
        <f t="shared" ca="1" si="22"/>
        <v>4683</v>
      </c>
    </row>
    <row r="116" spans="1:19">
      <c r="A116" s="159"/>
      <c r="B116" s="59">
        <f>抵押物清单!E94</f>
        <v>269.95</v>
      </c>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ca="1" si="31"/>
        <v>177617</v>
      </c>
      <c r="S116" s="361">
        <f t="shared" ca="1" si="22"/>
        <v>4795</v>
      </c>
    </row>
    <row r="117" spans="1:19">
      <c r="A117" s="159"/>
      <c r="B117" s="59">
        <f>抵押物清单!E95</f>
        <v>269.95</v>
      </c>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ca="1" si="31"/>
        <v>177617</v>
      </c>
      <c r="S117" s="361">
        <f t="shared" ca="1" si="22"/>
        <v>4795</v>
      </c>
    </row>
    <row r="118" spans="1:19">
      <c r="A118" s="159"/>
      <c r="B118" s="59">
        <f>抵押物清单!E96</f>
        <v>329.24</v>
      </c>
      <c r="C118" s="24">
        <f t="shared" si="23"/>
        <v>1.03</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ca="1" si="31"/>
        <v>182946</v>
      </c>
      <c r="S118" s="361">
        <f t="shared" ca="1" si="22"/>
        <v>6023</v>
      </c>
    </row>
    <row r="119" spans="1:19">
      <c r="A119" s="159"/>
      <c r="B119" s="59">
        <f>抵押物清单!E97</f>
        <v>269.95</v>
      </c>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ca="1" si="31"/>
        <v>177617</v>
      </c>
      <c r="S119" s="361">
        <f t="shared" ca="1" si="22"/>
        <v>4795</v>
      </c>
    </row>
    <row r="120" spans="1:19">
      <c r="A120" s="159"/>
      <c r="B120" s="59">
        <f>抵押物清单!E98</f>
        <v>212.71</v>
      </c>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ca="1" si="31"/>
        <v>177617</v>
      </c>
      <c r="S120" s="361">
        <f t="shared" ca="1" si="22"/>
        <v>3778</v>
      </c>
    </row>
    <row r="121" spans="1:19">
      <c r="A121" s="159"/>
      <c r="B121" s="59">
        <f>抵押物清单!E99</f>
        <v>213.7</v>
      </c>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ca="1" si="31"/>
        <v>177617</v>
      </c>
      <c r="S121" s="361">
        <f t="shared" ca="1" si="22"/>
        <v>3796</v>
      </c>
    </row>
    <row r="122" spans="1:19">
      <c r="A122" s="159"/>
      <c r="B122" s="59">
        <f>抵押物清单!E100</f>
        <v>213.7</v>
      </c>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ca="1" si="31"/>
        <v>177617</v>
      </c>
      <c r="S122" s="361">
        <f t="shared" ca="1" si="22"/>
        <v>3796</v>
      </c>
    </row>
    <row r="123" spans="1:19">
      <c r="A123" s="159"/>
      <c r="B123" s="59">
        <f>抵押物清单!E101</f>
        <v>212.71</v>
      </c>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ca="1" si="31"/>
        <v>177617</v>
      </c>
      <c r="S123" s="361">
        <f t="shared" ref="S123:S186" ca="1" si="32">ROUND(R123*B123/10000,0)</f>
        <v>3778</v>
      </c>
    </row>
    <row r="124" spans="1:19">
      <c r="A124" s="159"/>
      <c r="B124" s="59">
        <f>抵押物清单!E102</f>
        <v>213.7</v>
      </c>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ca="1" si="31"/>
        <v>177617</v>
      </c>
      <c r="S124" s="361">
        <f t="shared" ca="1" si="32"/>
        <v>3796</v>
      </c>
    </row>
    <row r="125" spans="1:19">
      <c r="A125" s="159"/>
      <c r="B125" s="59">
        <f>抵押物清单!E103</f>
        <v>212.71</v>
      </c>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ca="1" si="31"/>
        <v>177617</v>
      </c>
      <c r="S125" s="361">
        <f t="shared" ca="1" si="32"/>
        <v>3778</v>
      </c>
    </row>
    <row r="126" spans="1:19">
      <c r="A126" s="159"/>
      <c r="B126" s="59">
        <f>抵押物清单!E104</f>
        <v>213.7</v>
      </c>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ca="1" si="31"/>
        <v>177617</v>
      </c>
      <c r="S126" s="361">
        <f t="shared" ca="1" si="32"/>
        <v>3796</v>
      </c>
    </row>
    <row r="127" spans="1:19">
      <c r="A127" s="159"/>
      <c r="B127" s="59">
        <f>抵押物清单!E105</f>
        <v>208.51</v>
      </c>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ca="1" si="31"/>
        <v>177617</v>
      </c>
      <c r="S127" s="361">
        <f t="shared" ca="1" si="32"/>
        <v>3703</v>
      </c>
    </row>
    <row r="128" spans="1:19">
      <c r="A128" s="159"/>
      <c r="B128" s="59">
        <f>抵押物清单!E106</f>
        <v>208.51</v>
      </c>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ca="1" si="31"/>
        <v>177617</v>
      </c>
      <c r="S128" s="361">
        <f t="shared" ca="1" si="32"/>
        <v>3703</v>
      </c>
    </row>
    <row r="129" spans="1:19">
      <c r="A129" s="159"/>
      <c r="B129" s="59">
        <f>抵押物清单!E107</f>
        <v>547.88</v>
      </c>
      <c r="C129" s="24">
        <f t="shared" si="23"/>
        <v>1.03</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ca="1" si="31"/>
        <v>182946</v>
      </c>
      <c r="S129" s="361">
        <f t="shared" ca="1" si="32"/>
        <v>10023</v>
      </c>
    </row>
    <row r="130" spans="1:19">
      <c r="A130" s="159"/>
      <c r="B130" s="59">
        <f>抵押物清单!E108</f>
        <v>264.36</v>
      </c>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ca="1" si="31"/>
        <v>177617</v>
      </c>
      <c r="S130" s="361">
        <f t="shared" ca="1" si="32"/>
        <v>4695</v>
      </c>
    </row>
    <row r="131" spans="1:19">
      <c r="A131" s="159"/>
      <c r="B131" s="59">
        <f>抵押物清单!E109</f>
        <v>270.7</v>
      </c>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ca="1" si="31"/>
        <v>177617</v>
      </c>
      <c r="S131" s="361">
        <f t="shared" ca="1" si="32"/>
        <v>4808</v>
      </c>
    </row>
    <row r="132" spans="1:19">
      <c r="A132" s="159"/>
      <c r="B132" s="59">
        <f>抵押物清单!E110</f>
        <v>331.65</v>
      </c>
      <c r="C132" s="24">
        <f t="shared" si="23"/>
        <v>1.03</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ca="1" si="31"/>
        <v>182946</v>
      </c>
      <c r="S132" s="361">
        <f t="shared" ca="1" si="32"/>
        <v>6067</v>
      </c>
    </row>
    <row r="133" spans="1:19">
      <c r="A133" s="159"/>
      <c r="B133" s="59">
        <f>抵押物清单!E111</f>
        <v>270.7</v>
      </c>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ca="1" si="31"/>
        <v>177617</v>
      </c>
      <c r="S133" s="361">
        <f t="shared" ca="1" si="32"/>
        <v>4808</v>
      </c>
    </row>
    <row r="134" spans="1:19">
      <c r="A134" s="159"/>
      <c r="B134" s="59">
        <f>抵押物清单!E112</f>
        <v>263.08999999999997</v>
      </c>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ca="1" si="31"/>
        <v>177617</v>
      </c>
      <c r="S134" s="361">
        <f t="shared" ca="1" si="32"/>
        <v>4673</v>
      </c>
    </row>
    <row r="135" spans="1:19">
      <c r="A135" s="159"/>
      <c r="B135" s="59">
        <f>抵押物清单!E113</f>
        <v>308.75</v>
      </c>
      <c r="C135" s="24">
        <f t="shared" si="23"/>
        <v>1.03</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ca="1" si="31"/>
        <v>182946</v>
      </c>
      <c r="S135" s="361">
        <f t="shared" ca="1" si="32"/>
        <v>5648</v>
      </c>
    </row>
    <row r="136" spans="1:19">
      <c r="A136" s="159"/>
      <c r="B136" s="59">
        <f>抵押物清单!E114</f>
        <v>445.05</v>
      </c>
      <c r="C136" s="24">
        <f t="shared" si="23"/>
        <v>1.03</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ca="1" si="31"/>
        <v>182946</v>
      </c>
      <c r="S136" s="361">
        <f t="shared" ca="1" si="32"/>
        <v>8142</v>
      </c>
    </row>
    <row r="137" spans="1:19">
      <c r="A137" s="159"/>
      <c r="B137" s="59">
        <f>抵押物清单!E115</f>
        <v>465.5</v>
      </c>
      <c r="C137" s="24">
        <f t="shared" si="23"/>
        <v>1.03</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ca="1" si="31"/>
        <v>182946</v>
      </c>
      <c r="S137" s="361">
        <f t="shared" ca="1" si="32"/>
        <v>8516</v>
      </c>
    </row>
    <row r="138" spans="1:19">
      <c r="A138" s="159"/>
      <c r="B138" s="59">
        <f>抵押物清单!E116</f>
        <v>267.02</v>
      </c>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ca="1" si="31"/>
        <v>177617</v>
      </c>
      <c r="S138" s="361">
        <f t="shared" ca="1" si="32"/>
        <v>4743</v>
      </c>
    </row>
    <row r="139" spans="1:19">
      <c r="A139" s="159"/>
      <c r="B139" s="59">
        <f>抵押物清单!E117</f>
        <v>274.89999999999998</v>
      </c>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ca="1" si="31"/>
        <v>177617</v>
      </c>
      <c r="S139" s="361">
        <f t="shared" ca="1" si="32"/>
        <v>4883</v>
      </c>
    </row>
    <row r="140" spans="1:19">
      <c r="A140" s="159"/>
      <c r="B140" s="59">
        <f>抵押物清单!E118</f>
        <v>275.31</v>
      </c>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ca="1" si="31"/>
        <v>177617</v>
      </c>
      <c r="S140" s="361">
        <f t="shared" ca="1" si="32"/>
        <v>4890</v>
      </c>
    </row>
    <row r="141" spans="1:19">
      <c r="A141" s="159"/>
      <c r="B141" s="59">
        <f>抵押物清单!E119</f>
        <v>272.58999999999997</v>
      </c>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ca="1" si="31"/>
        <v>177617</v>
      </c>
      <c r="S141" s="361">
        <f t="shared" ca="1" si="32"/>
        <v>4842</v>
      </c>
    </row>
    <row r="142" spans="1:19">
      <c r="A142" s="159"/>
      <c r="B142" s="59">
        <f>抵押物清单!E120</f>
        <v>252.61</v>
      </c>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ca="1" si="31"/>
        <v>177617</v>
      </c>
      <c r="S142" s="361">
        <f t="shared" ca="1" si="32"/>
        <v>4487</v>
      </c>
    </row>
    <row r="143" spans="1:19">
      <c r="A143" s="159"/>
      <c r="B143" s="59">
        <f>抵押物清单!E121</f>
        <v>280.16000000000003</v>
      </c>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ca="1" si="31"/>
        <v>177617</v>
      </c>
      <c r="S143" s="361">
        <f t="shared" ca="1" si="32"/>
        <v>4976</v>
      </c>
    </row>
    <row r="144" spans="1:19">
      <c r="A144" s="159"/>
      <c r="B144" s="59">
        <f>抵押物清单!E122</f>
        <v>280.55</v>
      </c>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ca="1" si="31"/>
        <v>177617</v>
      </c>
      <c r="S144" s="361">
        <f t="shared" ca="1" si="32"/>
        <v>4983</v>
      </c>
    </row>
    <row r="145" spans="1:19">
      <c r="A145" s="159"/>
      <c r="B145" s="59">
        <f>抵押物清单!E123</f>
        <v>277.81</v>
      </c>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ca="1" si="31"/>
        <v>177617</v>
      </c>
      <c r="S145" s="361">
        <f t="shared" ca="1" si="32"/>
        <v>4934</v>
      </c>
    </row>
    <row r="146" spans="1:19">
      <c r="A146" s="159"/>
      <c r="B146" s="59">
        <f>抵押物清单!E124</f>
        <v>728.72</v>
      </c>
      <c r="C146" s="24">
        <f t="shared" si="23"/>
        <v>1.06</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ca="1" si="31"/>
        <v>188274</v>
      </c>
      <c r="S146" s="361">
        <f t="shared" ca="1" si="32"/>
        <v>13720</v>
      </c>
    </row>
    <row r="147" spans="1:19">
      <c r="A147" s="159"/>
      <c r="B147" s="59">
        <f>抵押物清单!E125</f>
        <v>463.58</v>
      </c>
      <c r="C147" s="24">
        <f t="shared" si="23"/>
        <v>1.03</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ca="1" si="31"/>
        <v>182946</v>
      </c>
      <c r="S147" s="361">
        <f t="shared" ca="1" si="32"/>
        <v>8481</v>
      </c>
    </row>
    <row r="148" spans="1:19">
      <c r="A148" s="159"/>
      <c r="B148" s="59">
        <f>抵押物清单!E126</f>
        <v>472.51</v>
      </c>
      <c r="C148" s="24">
        <f t="shared" si="23"/>
        <v>1.03</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ca="1" si="31"/>
        <v>182946</v>
      </c>
      <c r="S148" s="361">
        <f t="shared" ca="1" si="32"/>
        <v>8644</v>
      </c>
    </row>
    <row r="149" spans="1:19">
      <c r="A149" s="159"/>
      <c r="B149" s="59">
        <f>抵押物清单!E127</f>
        <v>472.51</v>
      </c>
      <c r="C149" s="24">
        <f t="shared" si="23"/>
        <v>1.03</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ca="1" si="31"/>
        <v>182946</v>
      </c>
      <c r="S149" s="361">
        <f t="shared" ca="1" si="32"/>
        <v>8644</v>
      </c>
    </row>
    <row r="150" spans="1:19">
      <c r="A150" s="159"/>
      <c r="B150" s="59">
        <f>抵押物清单!E128</f>
        <v>449.53</v>
      </c>
      <c r="C150" s="24">
        <f t="shared" si="23"/>
        <v>1.03</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ca="1" si="31"/>
        <v>182946</v>
      </c>
      <c r="S150" s="361">
        <f t="shared" ca="1" si="32"/>
        <v>8224</v>
      </c>
    </row>
    <row r="151" spans="1:19">
      <c r="A151" s="159"/>
      <c r="B151" s="59">
        <f>抵押物清单!E129</f>
        <v>666.14</v>
      </c>
      <c r="C151" s="24">
        <f t="shared" si="23"/>
        <v>1.06</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ca="1" si="31"/>
        <v>188274</v>
      </c>
      <c r="S151" s="361">
        <f t="shared" ca="1" si="32"/>
        <v>12542</v>
      </c>
    </row>
    <row r="152" spans="1:19">
      <c r="A152" s="159"/>
      <c r="B152" s="59">
        <f>抵押物清单!E130</f>
        <v>311.29000000000002</v>
      </c>
      <c r="C152" s="24">
        <f t="shared" si="23"/>
        <v>1.03</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ca="1" si="31"/>
        <v>182946</v>
      </c>
      <c r="S152" s="361">
        <f t="shared" ca="1" si="32"/>
        <v>5695</v>
      </c>
    </row>
    <row r="153" spans="1:19">
      <c r="A153" s="159"/>
      <c r="B153" s="59">
        <f>抵押物清单!E131</f>
        <v>320.35000000000002</v>
      </c>
      <c r="C153" s="24">
        <f t="shared" si="23"/>
        <v>1.03</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ca="1" si="31"/>
        <v>182946</v>
      </c>
      <c r="S153" s="361">
        <f t="shared" ca="1" si="32"/>
        <v>5861</v>
      </c>
    </row>
    <row r="154" spans="1:19">
      <c r="A154" s="159"/>
      <c r="B154" s="59">
        <f>抵押物清单!E132</f>
        <v>320.35000000000002</v>
      </c>
      <c r="C154" s="24">
        <f t="shared" ref="C154:C217" si="33">IF(B154="",1,(LOOKUP(B154,$3:$3,$4:$4)-LOOKUP($B$24,$3:$3,$4:$4)+100)/100)</f>
        <v>1.03</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ca="1" si="41">IF(B154="",0,ROUND($R$24*C154*E154*G154*I154*K154*M154*O154*Q154,0))</f>
        <v>182946</v>
      </c>
      <c r="S154" s="361">
        <f t="shared" ca="1" si="32"/>
        <v>5861</v>
      </c>
    </row>
    <row r="155" spans="1:19">
      <c r="A155" s="159"/>
      <c r="B155" s="59">
        <f>抵押物清单!E133</f>
        <v>320.35000000000002</v>
      </c>
      <c r="C155" s="24">
        <f t="shared" si="33"/>
        <v>1.03</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ca="1" si="41"/>
        <v>182946</v>
      </c>
      <c r="S155" s="361">
        <f t="shared" ca="1" si="32"/>
        <v>5861</v>
      </c>
    </row>
    <row r="156" spans="1:19">
      <c r="A156" s="159"/>
      <c r="B156" s="59">
        <f>抵押物清单!E134</f>
        <v>296.08</v>
      </c>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ca="1" si="41"/>
        <v>177617</v>
      </c>
      <c r="S156" s="361">
        <f t="shared" ca="1" si="32"/>
        <v>5259</v>
      </c>
    </row>
    <row r="157" spans="1:19">
      <c r="A157" s="159"/>
      <c r="B157" s="59">
        <f>抵押物清单!E135</f>
        <v>675.08</v>
      </c>
      <c r="C157" s="24">
        <f t="shared" si="33"/>
        <v>1.06</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ca="1" si="41"/>
        <v>188274</v>
      </c>
      <c r="S157" s="361">
        <f t="shared" ca="1" si="32"/>
        <v>12710</v>
      </c>
    </row>
    <row r="158" spans="1:19">
      <c r="A158" s="159"/>
      <c r="B158" s="59">
        <f>抵押物清单!E136</f>
        <v>323.47000000000003</v>
      </c>
      <c r="C158" s="24">
        <f t="shared" si="33"/>
        <v>1.03</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ca="1" si="41"/>
        <v>182946</v>
      </c>
      <c r="S158" s="361">
        <f t="shared" ca="1" si="32"/>
        <v>5918</v>
      </c>
    </row>
    <row r="159" spans="1:19">
      <c r="A159" s="159"/>
      <c r="B159" s="59">
        <f>抵押物清单!E137</f>
        <v>323.47000000000003</v>
      </c>
      <c r="C159" s="24">
        <f t="shared" si="33"/>
        <v>1.03</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ca="1" si="41"/>
        <v>182946</v>
      </c>
      <c r="S159" s="361">
        <f t="shared" ca="1" si="32"/>
        <v>5918</v>
      </c>
    </row>
    <row r="160" spans="1:19">
      <c r="A160" s="159"/>
      <c r="B160" s="59">
        <f>抵押物清单!E138</f>
        <v>323.47000000000003</v>
      </c>
      <c r="C160" s="24">
        <f t="shared" si="33"/>
        <v>1.03</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ca="1" si="41"/>
        <v>182946</v>
      </c>
      <c r="S160" s="361">
        <f t="shared" ca="1" si="32"/>
        <v>5918</v>
      </c>
    </row>
    <row r="161" spans="1:19">
      <c r="A161" s="159"/>
      <c r="B161" s="59">
        <f>抵押物清单!E139</f>
        <v>321.08</v>
      </c>
      <c r="C161" s="24">
        <f t="shared" si="33"/>
        <v>1.03</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ca="1" si="41"/>
        <v>182946</v>
      </c>
      <c r="S161" s="361">
        <f t="shared" ca="1" si="32"/>
        <v>5874</v>
      </c>
    </row>
    <row r="162" spans="1:19">
      <c r="A162" s="159"/>
      <c r="B162" s="59">
        <f>抵押物清单!E140</f>
        <v>321.08</v>
      </c>
      <c r="C162" s="24">
        <f t="shared" si="33"/>
        <v>1.03</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ca="1" si="41"/>
        <v>182946</v>
      </c>
      <c r="S162" s="361">
        <f t="shared" ca="1" si="32"/>
        <v>5874</v>
      </c>
    </row>
    <row r="163" spans="1:19">
      <c r="A163" s="159"/>
      <c r="B163" s="59">
        <f>抵押物清单!E141</f>
        <v>298.95999999999998</v>
      </c>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ca="1" si="41"/>
        <v>177617</v>
      </c>
      <c r="S163" s="361">
        <f t="shared" ca="1" si="32"/>
        <v>5310</v>
      </c>
    </row>
    <row r="164" spans="1:19">
      <c r="A164" s="159"/>
      <c r="B164" s="59">
        <f>抵押物清单!E142</f>
        <v>467.22</v>
      </c>
      <c r="C164" s="24">
        <f t="shared" si="33"/>
        <v>1.03</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ca="1" si="41"/>
        <v>182946</v>
      </c>
      <c r="S164" s="361">
        <f t="shared" ca="1" si="32"/>
        <v>8548</v>
      </c>
    </row>
    <row r="165" spans="1:19">
      <c r="A165" s="159"/>
      <c r="B165" s="59">
        <f>抵押物清单!E143</f>
        <v>446.94</v>
      </c>
      <c r="C165" s="24">
        <f t="shared" si="33"/>
        <v>1.03</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ca="1" si="41"/>
        <v>182946</v>
      </c>
      <c r="S165" s="361">
        <f t="shared" ca="1" si="32"/>
        <v>8177</v>
      </c>
    </row>
    <row r="166" spans="1:19">
      <c r="A166" s="159"/>
      <c r="B166" s="59">
        <f>抵押物清单!E144</f>
        <v>276.52999999999997</v>
      </c>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ca="1" si="41"/>
        <v>177617</v>
      </c>
      <c r="S166" s="361">
        <f t="shared" ca="1" si="32"/>
        <v>4912</v>
      </c>
    </row>
    <row r="167" spans="1:19">
      <c r="A167" s="159"/>
      <c r="B167" s="59">
        <f>抵押物清单!E145</f>
        <v>276.52999999999997</v>
      </c>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ca="1" si="41"/>
        <v>177617</v>
      </c>
      <c r="S167" s="361">
        <f t="shared" ca="1" si="32"/>
        <v>4912</v>
      </c>
    </row>
    <row r="168" spans="1:19">
      <c r="A168" s="159"/>
      <c r="B168" s="59">
        <f>抵押物清单!E146</f>
        <v>276.52999999999997</v>
      </c>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ca="1" si="41"/>
        <v>177617</v>
      </c>
      <c r="S168" s="361">
        <f t="shared" ca="1" si="32"/>
        <v>4912</v>
      </c>
    </row>
    <row r="169" spans="1:19">
      <c r="A169" s="159"/>
      <c r="B169" s="59">
        <f>抵押物清单!E147</f>
        <v>276.52999999999997</v>
      </c>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ca="1" si="41"/>
        <v>177617</v>
      </c>
      <c r="S169" s="361">
        <f t="shared" ca="1" si="32"/>
        <v>4912</v>
      </c>
    </row>
    <row r="170" spans="1:19">
      <c r="A170" s="159"/>
      <c r="B170" s="59">
        <f>抵押物清单!E148</f>
        <v>274.02</v>
      </c>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ca="1" si="41"/>
        <v>177617</v>
      </c>
      <c r="S170" s="361">
        <f t="shared" ca="1" si="32"/>
        <v>4867</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64"/>
      <c r="B4" s="2982" t="s">
        <v>1629</v>
      </c>
      <c r="C4" s="2982"/>
      <c r="D4" s="2982"/>
      <c r="E4" s="1964"/>
    </row>
    <row r="5" spans="1:5" ht="16.5" thickTop="1">
      <c r="A5" s="1962"/>
      <c r="B5" s="2980" t="s">
        <v>1621</v>
      </c>
      <c r="C5" s="1965" t="s">
        <v>1622</v>
      </c>
      <c r="D5" s="1043">
        <f ca="1">结果表!H101</f>
        <v>808909</v>
      </c>
      <c r="E5" s="1962"/>
    </row>
    <row r="6" spans="1:5" ht="15.75">
      <c r="A6" s="1962"/>
      <c r="B6" s="2980"/>
      <c r="C6" s="1965" t="s">
        <v>1623</v>
      </c>
      <c r="D6" s="1043" t="str">
        <f ca="1">NUMBERSTRING(INT(D5*10000),2)&amp;"元整"</f>
        <v>捌拾亿捌仟玖佰零玖万元整</v>
      </c>
      <c r="E6" s="1962"/>
    </row>
    <row r="7" spans="1:5" ht="15.75">
      <c r="A7" s="1962"/>
      <c r="B7" s="2985"/>
      <c r="C7" s="1966" t="s">
        <v>1624</v>
      </c>
      <c r="D7" s="1044">
        <f ca="1">结果表!H102</f>
        <v>180432</v>
      </c>
      <c r="E7" s="1962"/>
    </row>
    <row r="8" spans="1:5" ht="15.75">
      <c r="A8" s="1962"/>
      <c r="B8" s="2986" t="str">
        <f>结果表!E103</f>
        <v>2.估价师知悉的除抵押担保权以外的法定优先受偿款</v>
      </c>
      <c r="C8" s="1967" t="s">
        <v>1625</v>
      </c>
      <c r="D8" s="1044">
        <f>结果表!H103</f>
        <v>0</v>
      </c>
      <c r="E8" s="1962"/>
    </row>
    <row r="9" spans="1:5" ht="15.75">
      <c r="A9" s="1962"/>
      <c r="B9" s="2988"/>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79" t="str">
        <f>结果表!E107</f>
        <v>3.房地产抵押价值</v>
      </c>
      <c r="C13" s="1970" t="s">
        <v>1622</v>
      </c>
      <c r="D13" s="1046">
        <f ca="1">结果表!H107</f>
        <v>808909</v>
      </c>
      <c r="E13" s="1962"/>
    </row>
    <row r="14" spans="1:5" ht="15.75">
      <c r="A14" s="1962"/>
      <c r="B14" s="2980"/>
      <c r="C14" s="1965" t="s">
        <v>1623</v>
      </c>
      <c r="D14" s="1043" t="str">
        <f ca="1">NUMBERSTRING(INT(D13*10000),2)&amp;"元整"</f>
        <v>捌拾亿捌仟玖佰零玖万元整</v>
      </c>
      <c r="E14" s="1962"/>
    </row>
    <row r="15" spans="1:5" ht="15">
      <c r="A15" s="1962"/>
      <c r="B15" s="2985"/>
      <c r="C15" s="1966" t="s">
        <v>1633</v>
      </c>
      <c r="D15" s="1055">
        <f ca="1">结果表!H108</f>
        <v>180432</v>
      </c>
      <c r="E15" s="1962"/>
    </row>
    <row r="16" spans="1:5" ht="15">
      <c r="A16" s="1962"/>
      <c r="B16" s="2986" t="str">
        <f>结果表!E109</f>
        <v>——</v>
      </c>
      <c r="C16" s="1970" t="s">
        <v>1634</v>
      </c>
      <c r="D16" s="1971" t="str">
        <f>结果表!H109</f>
        <v>——</v>
      </c>
      <c r="E16" s="1962"/>
    </row>
    <row r="17" spans="1:5" ht="15.75">
      <c r="A17" s="1962"/>
      <c r="B17" s="2987"/>
      <c r="C17" s="1965" t="s">
        <v>1635</v>
      </c>
      <c r="D17" s="1043" t="e">
        <f>NUMBERSTRING(INT(D16*10000),2)&amp;"元整"</f>
        <v>#VALUE!</v>
      </c>
      <c r="E17" s="1962"/>
    </row>
    <row r="18" spans="1:5" ht="15">
      <c r="A18" s="1962"/>
      <c r="B18" s="2988"/>
      <c r="C18" s="1966" t="s">
        <v>1624</v>
      </c>
      <c r="D18" s="1055" t="str">
        <f>结果表!H110</f>
        <v>——</v>
      </c>
      <c r="E18" s="1962"/>
    </row>
    <row r="19" spans="1:5" ht="15.75">
      <c r="A19" s="1962"/>
      <c r="B19" s="2979" t="str">
        <f>结果表!E111</f>
        <v>4.抵押净值</v>
      </c>
      <c r="C19" s="1970" t="s">
        <v>1622</v>
      </c>
      <c r="D19" s="1044">
        <f ca="1">结果表!H111</f>
        <v>771142</v>
      </c>
      <c r="E19" s="1962"/>
    </row>
    <row r="20" spans="1:5" ht="15.75">
      <c r="A20" s="1962"/>
      <c r="B20" s="2980"/>
      <c r="C20" s="1965" t="s">
        <v>1635</v>
      </c>
      <c r="D20" s="1043" t="str">
        <f ca="1">NUMBERSTRING(INT(D19*10000),2)&amp;"元整"</f>
        <v>柒拾柒亿壹仟壹佰肆拾贰万元整</v>
      </c>
      <c r="E20" s="1962"/>
    </row>
    <row r="21" spans="1:5" ht="15.75" thickBot="1">
      <c r="A21" s="1962"/>
      <c r="B21" s="2981"/>
      <c r="C21" s="1972" t="s">
        <v>1633</v>
      </c>
      <c r="D21" s="1056">
        <f ca="1">结果表!H112</f>
        <v>172008</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33217</v>
      </c>
      <c r="C2" s="2" t="s">
        <v>133</v>
      </c>
      <c r="D2" s="243"/>
      <c r="E2" s="243"/>
      <c r="F2" s="243"/>
      <c r="G2" s="243"/>
    </row>
    <row r="3" spans="1:7" s="244" customFormat="1" ht="18" customHeight="1" thickBot="1">
      <c r="A3" s="247" t="s">
        <v>85</v>
      </c>
      <c r="B3" s="248">
        <f ca="1">ROUND(B2*10000/'数据-汇总表'!E3,0)</f>
        <v>7409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717</v>
      </c>
      <c r="D9" s="1035">
        <f>'数据-汇总表'!E5</f>
        <v>44831.789999999994</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897</v>
      </c>
      <c r="D19" s="1039">
        <f>'数据-汇总表'!E3</f>
        <v>44831.789999999994</v>
      </c>
      <c r="E19" s="255">
        <f>'数据-取费表'!B31</f>
        <v>200</v>
      </c>
      <c r="F19" s="275"/>
      <c r="G19" s="1" t="s">
        <v>1074</v>
      </c>
    </row>
    <row r="20" spans="1:7" s="258" customFormat="1" ht="13.5" customHeight="1">
      <c r="A20" s="951" t="s">
        <v>1057</v>
      </c>
      <c r="B20" s="254" t="s">
        <v>104</v>
      </c>
      <c r="C20" s="276">
        <f>ROUND((C5+C19)*F20,0)</f>
        <v>430</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2671</v>
      </c>
      <c r="D22" s="279">
        <f ca="1">C26</f>
        <v>1.1999999999999999E-3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110</v>
      </c>
      <c r="D24" s="282"/>
      <c r="E24" s="282"/>
      <c r="F24" s="283"/>
      <c r="G24" s="284" t="s">
        <v>109</v>
      </c>
    </row>
    <row r="25" spans="1:7" s="258" customFormat="1" ht="24">
      <c r="A25" s="954" t="s">
        <v>793</v>
      </c>
      <c r="B25" s="259" t="s">
        <v>1058</v>
      </c>
      <c r="C25" s="1358">
        <f ca="1">ROUND(IF('数据-取费表'!B22&lt;=1,C20*F22*'数据-取费表'!B23/2,C20*(POWER((1+F22),'数据-取费表'!B23/2)-1)),0)</f>
        <v>26</v>
      </c>
      <c r="D25" s="282"/>
      <c r="E25" s="285"/>
      <c r="F25" s="283"/>
      <c r="G25" s="286" t="s">
        <v>110</v>
      </c>
    </row>
    <row r="26" spans="1:7" s="258" customFormat="1">
      <c r="A26" s="954" t="s">
        <v>795</v>
      </c>
      <c r="B26" s="259" t="s">
        <v>1060</v>
      </c>
      <c r="C26" s="282">
        <f ca="1">ROUND(IF('数据-取费表'!B22&lt;=1,F21*F22*'数据-取费表'!B23/2,F21*(POWER((1+F22),'数据-取费表'!B23/2)-1)),4)</f>
        <v>1.1999999999999999E-3</v>
      </c>
      <c r="D26" s="282"/>
      <c r="E26" s="285"/>
      <c r="F26" s="283"/>
      <c r="G26" s="287"/>
    </row>
    <row r="27" spans="1:7" s="258" customFormat="1" ht="24.75">
      <c r="A27" s="951" t="s">
        <v>787</v>
      </c>
      <c r="B27" s="288" t="s">
        <v>112</v>
      </c>
      <c r="C27" s="289">
        <f>C28</f>
        <v>4387</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4387</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31466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1346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410</v>
      </c>
      <c r="D34" s="261"/>
      <c r="E34" s="264"/>
      <c r="F34" s="301">
        <f>IF('数据-取费表'!B24=0,1,'数据-取费表'!N16)</f>
        <v>1</v>
      </c>
      <c r="G34" s="263" t="s">
        <v>116</v>
      </c>
    </row>
    <row r="35" spans="1:7" ht="13.5" customHeight="1">
      <c r="A35" s="954" t="s">
        <v>796</v>
      </c>
      <c r="B35" s="259" t="s">
        <v>60</v>
      </c>
      <c r="C35" s="264">
        <f>ROUND(C34*F35,0)</f>
        <v>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21</v>
      </c>
      <c r="D36" s="264"/>
      <c r="E36" s="264"/>
      <c r="F36" s="303">
        <f>'数据-取费表'!B34</f>
        <v>0.05</v>
      </c>
      <c r="G36" s="304" t="s">
        <v>62</v>
      </c>
    </row>
    <row r="37" spans="1:7" s="302" customFormat="1" ht="13.5" customHeight="1">
      <c r="A37" s="954" t="s">
        <v>798</v>
      </c>
      <c r="B37" s="259" t="s">
        <v>118</v>
      </c>
      <c r="C37" s="293">
        <f>ROUND(E37*D37*F34/10000,0)</f>
        <v>897</v>
      </c>
      <c r="D37" s="261">
        <f>'数据-汇总表'!E3</f>
        <v>44831.789999999994</v>
      </c>
      <c r="E37" s="293">
        <f>'数据-取费表'!B35</f>
        <v>200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27</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82</v>
      </c>
      <c r="D41" s="279">
        <f ca="1">C44</f>
        <v>1.1999999999999999E-3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80</v>
      </c>
      <c r="D42" s="282"/>
      <c r="E42" s="282"/>
      <c r="F42" s="283"/>
      <c r="G42" s="3164" t="s">
        <v>121</v>
      </c>
    </row>
    <row r="43" spans="1:7" ht="13.5" customHeight="1">
      <c r="A43" s="954" t="s">
        <v>792</v>
      </c>
      <c r="B43" s="259" t="s">
        <v>1064</v>
      </c>
      <c r="C43" s="282">
        <f ca="1">ROUND(IF('数据-取费表'!B22&lt;=1,C39*F22*'数据-取费表'!B21/2,C39*(POWER((1+F22),'数据-取费表'!B21/2)-1)),0)</f>
        <v>2</v>
      </c>
      <c r="D43" s="282"/>
      <c r="E43" s="282"/>
      <c r="F43" s="283"/>
      <c r="G43" s="3165"/>
    </row>
    <row r="44" spans="1:7" ht="13.5" customHeight="1">
      <c r="A44" s="954" t="s">
        <v>793</v>
      </c>
      <c r="B44" s="259" t="s">
        <v>1066</v>
      </c>
      <c r="C44" s="282">
        <f ca="1">ROUND(IF('数据-取费表'!B22&lt;=1,C40*F22*'数据-取费表'!B21/2,C40*(POWER((1+F22),'数据-取费表'!B21/2)-1)),4)</f>
        <v>1.1999999999999999E-3</v>
      </c>
      <c r="D44" s="282"/>
      <c r="E44" s="282"/>
      <c r="F44" s="283"/>
      <c r="G44" s="3166"/>
    </row>
    <row r="45" spans="1:7" s="258" customFormat="1" ht="13.5" customHeight="1">
      <c r="A45" s="951" t="s">
        <v>786</v>
      </c>
      <c r="B45" s="288" t="s">
        <v>112</v>
      </c>
      <c r="C45" s="289">
        <f>C46</f>
        <v>275</v>
      </c>
      <c r="D45" s="279">
        <f>C47</f>
        <v>4.0000000000000001E-3</v>
      </c>
      <c r="E45" s="280" t="s">
        <v>129</v>
      </c>
      <c r="F45" s="290"/>
      <c r="G45" s="291" t="s">
        <v>1072</v>
      </c>
    </row>
    <row r="46" spans="1:7" s="258" customFormat="1" ht="13.5" customHeight="1">
      <c r="A46" s="954" t="s">
        <v>794</v>
      </c>
      <c r="B46" s="292" t="s">
        <v>1065</v>
      </c>
      <c r="C46" s="293">
        <f>ROUND((C33+C39)*F27,0)</f>
        <v>275</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1877</v>
      </c>
      <c r="D49" s="276"/>
      <c r="E49" s="276"/>
      <c r="F49" s="308"/>
      <c r="G49" s="278" t="s">
        <v>1073</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1751</v>
      </c>
      <c r="D51" s="276"/>
      <c r="E51" s="276"/>
      <c r="F51" s="308"/>
      <c r="G51" s="278" t="s">
        <v>64</v>
      </c>
    </row>
    <row r="52" spans="1:7" s="252" customFormat="1" ht="16.5" thickBot="1">
      <c r="A52" s="309" t="s">
        <v>65</v>
      </c>
      <c r="B52" s="310"/>
      <c r="C52" s="311">
        <f ca="1">C31+C51</f>
        <v>33217</v>
      </c>
      <c r="D52" s="310"/>
      <c r="E52" s="310"/>
      <c r="F52" s="310"/>
      <c r="G52" s="312"/>
    </row>
    <row r="55" spans="1:7" ht="15">
      <c r="B55" s="314" t="s">
        <v>66</v>
      </c>
      <c r="C55" s="315"/>
    </row>
    <row r="56" spans="1:7">
      <c r="B56" s="317" t="s">
        <v>67</v>
      </c>
      <c r="C56" s="318">
        <f ca="1">ROUND(C51/C52,3)</f>
        <v>5.2999999999999999E-2</v>
      </c>
    </row>
    <row r="57" spans="1:7">
      <c r="B57" s="317" t="s">
        <v>68</v>
      </c>
      <c r="C57" s="319">
        <f ca="1">1-C56</f>
        <v>0.94699999999999995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2" t="s">
        <v>156</v>
      </c>
      <c r="B1" s="3302"/>
      <c r="C1" s="3302"/>
      <c r="D1" s="3302"/>
      <c r="E1" s="3302"/>
      <c r="F1" s="330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3" t="s">
        <v>169</v>
      </c>
      <c r="B2" s="3303"/>
      <c r="C2" s="3303"/>
      <c r="D2" s="3303"/>
      <c r="E2" s="3303"/>
      <c r="F2" s="330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2" t="s">
        <v>871</v>
      </c>
      <c r="B1" s="330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43430</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1"/>
  <sheetViews>
    <sheetView topLeftCell="A133" workbookViewId="0">
      <selection activeCell="K34" sqref="K34"/>
    </sheetView>
  </sheetViews>
  <sheetFormatPr defaultRowHeight="13.5"/>
  <cols>
    <col min="5" max="5" width="12.75" customWidth="1"/>
    <col min="6" max="6" width="11.25" customWidth="1"/>
    <col min="7" max="7" width="9.5" bestFit="1" customWidth="1"/>
    <col min="10" max="10" width="17.75" customWidth="1"/>
    <col min="11" max="11" width="10.5" bestFit="1" customWidth="1"/>
  </cols>
  <sheetData>
    <row r="1" spans="1:11" ht="14.25">
      <c r="A1" s="2942" t="s">
        <v>3038</v>
      </c>
      <c r="B1" s="2942" t="s">
        <v>3039</v>
      </c>
      <c r="C1" s="2942" t="s">
        <v>3040</v>
      </c>
      <c r="D1" s="2942" t="s">
        <v>3041</v>
      </c>
      <c r="E1" s="2943" t="s">
        <v>3042</v>
      </c>
      <c r="F1" s="2944" t="s">
        <v>3043</v>
      </c>
      <c r="J1" t="s">
        <v>3733</v>
      </c>
    </row>
    <row r="2" spans="1:11" ht="14.25">
      <c r="A2" s="2945">
        <v>1</v>
      </c>
      <c r="B2" s="2953" t="s">
        <v>3044</v>
      </c>
      <c r="C2" s="2953" t="s">
        <v>70</v>
      </c>
      <c r="D2" s="2953">
        <v>301</v>
      </c>
      <c r="E2" s="2954">
        <v>273.05</v>
      </c>
      <c r="F2" s="2947" t="s">
        <v>3048</v>
      </c>
      <c r="G2" s="2950">
        <f>E2</f>
        <v>273.05</v>
      </c>
      <c r="J2" t="s">
        <v>3734</v>
      </c>
      <c r="K2">
        <v>4140.21</v>
      </c>
    </row>
    <row r="3" spans="1:11" ht="14.25">
      <c r="A3" s="2951">
        <v>2</v>
      </c>
      <c r="B3" s="2945" t="s">
        <v>3049</v>
      </c>
      <c r="C3" s="2945" t="s">
        <v>3050</v>
      </c>
      <c r="D3" s="2945">
        <v>201</v>
      </c>
      <c r="E3" s="2946">
        <v>244.72</v>
      </c>
      <c r="F3" s="2947" t="s">
        <v>3048</v>
      </c>
      <c r="J3" t="s">
        <v>3735</v>
      </c>
      <c r="K3">
        <v>14225.69</v>
      </c>
    </row>
    <row r="4" spans="1:11" ht="14.25">
      <c r="A4" s="2945">
        <v>3</v>
      </c>
      <c r="B4" s="2948" t="s">
        <v>3049</v>
      </c>
      <c r="C4" s="2948" t="s">
        <v>3050</v>
      </c>
      <c r="D4" s="2948">
        <v>202</v>
      </c>
      <c r="E4" s="2949">
        <v>212.62</v>
      </c>
      <c r="F4" s="2947" t="s">
        <v>3048</v>
      </c>
      <c r="J4" t="s">
        <v>3055</v>
      </c>
      <c r="K4">
        <v>10472.459999999999</v>
      </c>
    </row>
    <row r="5" spans="1:11" ht="14.25">
      <c r="A5" s="2945">
        <v>4</v>
      </c>
      <c r="B5" s="2948" t="s">
        <v>3049</v>
      </c>
      <c r="C5" s="2948" t="s">
        <v>3050</v>
      </c>
      <c r="D5" s="2948">
        <v>401</v>
      </c>
      <c r="E5" s="2949">
        <v>250.73</v>
      </c>
      <c r="F5" s="2947" t="s">
        <v>3048</v>
      </c>
      <c r="J5" t="s">
        <v>3056</v>
      </c>
      <c r="K5">
        <v>5872.87</v>
      </c>
    </row>
    <row r="6" spans="1:11" ht="14.25">
      <c r="A6" s="2945">
        <v>5</v>
      </c>
      <c r="B6" s="2948" t="s">
        <v>3049</v>
      </c>
      <c r="C6" s="2948" t="s">
        <v>3050</v>
      </c>
      <c r="D6" s="2948">
        <v>501</v>
      </c>
      <c r="E6" s="2949">
        <v>250.73</v>
      </c>
      <c r="F6" s="2947" t="s">
        <v>3048</v>
      </c>
      <c r="J6" t="s">
        <v>3057</v>
      </c>
      <c r="K6">
        <v>12410.8</v>
      </c>
    </row>
    <row r="7" spans="1:11" ht="14.25">
      <c r="A7" s="2945">
        <v>6</v>
      </c>
      <c r="B7" s="2948" t="s">
        <v>3049</v>
      </c>
      <c r="C7" s="2948" t="s">
        <v>3050</v>
      </c>
      <c r="D7" s="2948">
        <v>502</v>
      </c>
      <c r="E7" s="2949">
        <v>217.88</v>
      </c>
      <c r="F7" s="2947" t="s">
        <v>3048</v>
      </c>
      <c r="J7" t="s">
        <v>3058</v>
      </c>
      <c r="K7">
        <v>4146.33</v>
      </c>
    </row>
    <row r="8" spans="1:11" ht="14.25">
      <c r="A8" s="2945">
        <v>7</v>
      </c>
      <c r="B8" s="2948" t="s">
        <v>3049</v>
      </c>
      <c r="C8" s="2948" t="s">
        <v>3050</v>
      </c>
      <c r="D8" s="2948">
        <v>601</v>
      </c>
      <c r="E8" s="2949">
        <v>248.27</v>
      </c>
      <c r="F8" s="2947" t="s">
        <v>3048</v>
      </c>
      <c r="J8" t="s">
        <v>3059</v>
      </c>
      <c r="K8">
        <v>3410.63</v>
      </c>
    </row>
    <row r="9" spans="1:11" ht="14.25">
      <c r="A9" s="2945">
        <v>8</v>
      </c>
      <c r="B9" s="2948" t="s">
        <v>3049</v>
      </c>
      <c r="C9" s="2948" t="s">
        <v>3050</v>
      </c>
      <c r="D9" s="2948">
        <v>602</v>
      </c>
      <c r="E9" s="2949">
        <v>217.88</v>
      </c>
      <c r="F9" s="2947" t="s">
        <v>3048</v>
      </c>
      <c r="J9" t="s">
        <v>3060</v>
      </c>
      <c r="K9">
        <v>12425.84</v>
      </c>
    </row>
    <row r="10" spans="1:11" ht="14.25">
      <c r="A10" s="2945">
        <v>9</v>
      </c>
      <c r="B10" s="2948" t="s">
        <v>3049</v>
      </c>
      <c r="C10" s="2948" t="s">
        <v>3051</v>
      </c>
      <c r="D10" s="2948">
        <v>101</v>
      </c>
      <c r="E10" s="2949">
        <v>357.77</v>
      </c>
      <c r="F10" s="2947" t="s">
        <v>3048</v>
      </c>
      <c r="J10" t="s">
        <v>3063</v>
      </c>
      <c r="K10">
        <v>4146.29</v>
      </c>
    </row>
    <row r="11" spans="1:11" ht="14.25">
      <c r="A11" s="2945">
        <v>10</v>
      </c>
      <c r="B11" s="2948" t="s">
        <v>3049</v>
      </c>
      <c r="C11" s="2948" t="s">
        <v>3051</v>
      </c>
      <c r="D11" s="2948">
        <v>102</v>
      </c>
      <c r="E11" s="2949">
        <v>412.36</v>
      </c>
      <c r="F11" s="2947" t="s">
        <v>3048</v>
      </c>
      <c r="J11" t="s">
        <v>3736</v>
      </c>
      <c r="K11">
        <v>3613.96</v>
      </c>
    </row>
    <row r="12" spans="1:11" ht="14.25">
      <c r="A12" s="2945">
        <v>11</v>
      </c>
      <c r="B12" s="2948" t="s">
        <v>3049</v>
      </c>
      <c r="C12" s="2948" t="s">
        <v>3052</v>
      </c>
      <c r="D12" s="2948">
        <v>402</v>
      </c>
      <c r="E12" s="2949">
        <v>246.21</v>
      </c>
      <c r="F12" s="2947" t="s">
        <v>3048</v>
      </c>
      <c r="J12" t="s">
        <v>3737</v>
      </c>
      <c r="K12">
        <v>3103.23</v>
      </c>
    </row>
    <row r="13" spans="1:11" ht="14.25">
      <c r="A13" s="2945">
        <v>12</v>
      </c>
      <c r="B13" s="2948" t="s">
        <v>3049</v>
      </c>
      <c r="C13" s="2948" t="s">
        <v>3052</v>
      </c>
      <c r="D13" s="2948">
        <v>502</v>
      </c>
      <c r="E13" s="2949">
        <v>246.21</v>
      </c>
      <c r="F13" s="2947" t="s">
        <v>3048</v>
      </c>
      <c r="J13" t="s">
        <v>3738</v>
      </c>
      <c r="K13">
        <v>2586.85</v>
      </c>
    </row>
    <row r="14" spans="1:11" ht="14.25">
      <c r="A14" s="2945">
        <v>13</v>
      </c>
      <c r="B14" s="2948" t="s">
        <v>3049</v>
      </c>
      <c r="C14" s="2948" t="s">
        <v>3052</v>
      </c>
      <c r="D14" s="2948">
        <v>601</v>
      </c>
      <c r="E14" s="2949">
        <v>217.88</v>
      </c>
      <c r="F14" s="2947" t="s">
        <v>3048</v>
      </c>
      <c r="G14" s="2950"/>
      <c r="J14" t="s">
        <v>3066</v>
      </c>
      <c r="K14">
        <v>4870.76</v>
      </c>
    </row>
    <row r="15" spans="1:11" ht="14.25">
      <c r="A15" s="2945">
        <v>14</v>
      </c>
      <c r="B15" s="2945" t="s">
        <v>3049</v>
      </c>
      <c r="C15" s="2945" t="s">
        <v>3052</v>
      </c>
      <c r="D15" s="2945">
        <v>602</v>
      </c>
      <c r="E15" s="2946">
        <v>246.21</v>
      </c>
      <c r="F15" s="2947" t="s">
        <v>3048</v>
      </c>
      <c r="J15" t="s">
        <v>3067</v>
      </c>
      <c r="K15">
        <v>4592.3900000000003</v>
      </c>
    </row>
    <row r="16" spans="1:11" ht="14.25">
      <c r="A16" s="2945">
        <v>15</v>
      </c>
      <c r="B16" s="2945" t="s">
        <v>3049</v>
      </c>
      <c r="C16" s="2945" t="s">
        <v>3053</v>
      </c>
      <c r="D16" s="2945">
        <v>101</v>
      </c>
      <c r="E16" s="2946">
        <v>412.36</v>
      </c>
      <c r="F16" s="2947" t="s">
        <v>3048</v>
      </c>
      <c r="J16" t="s">
        <v>3068</v>
      </c>
      <c r="K16">
        <v>3613.08</v>
      </c>
    </row>
    <row r="17" spans="1:12" ht="14.25">
      <c r="A17" s="2945">
        <v>16</v>
      </c>
      <c r="B17" s="2945" t="s">
        <v>3049</v>
      </c>
      <c r="C17" s="2945" t="s">
        <v>3053</v>
      </c>
      <c r="D17" s="2945">
        <v>102</v>
      </c>
      <c r="E17" s="2946">
        <v>357.77</v>
      </c>
      <c r="F17" s="2947" t="s">
        <v>3048</v>
      </c>
      <c r="J17" t="s">
        <v>3739</v>
      </c>
      <c r="K17">
        <v>126.26</v>
      </c>
    </row>
    <row r="18" spans="1:12" ht="14.25">
      <c r="A18" s="2945">
        <v>17</v>
      </c>
      <c r="B18" s="2945" t="s">
        <v>3049</v>
      </c>
      <c r="C18" s="2945" t="s">
        <v>3053</v>
      </c>
      <c r="D18" s="2945">
        <v>301</v>
      </c>
      <c r="E18" s="2946">
        <v>246.21</v>
      </c>
      <c r="F18" s="2947" t="s">
        <v>3048</v>
      </c>
      <c r="J18" t="s">
        <v>3069</v>
      </c>
      <c r="K18">
        <v>50628.73</v>
      </c>
    </row>
    <row r="19" spans="1:12" ht="14.25">
      <c r="A19" s="2945">
        <v>18</v>
      </c>
      <c r="B19" s="2945" t="s">
        <v>3049</v>
      </c>
      <c r="C19" s="2945" t="s">
        <v>3053</v>
      </c>
      <c r="D19" s="2945">
        <v>401</v>
      </c>
      <c r="E19" s="2946">
        <v>246.21</v>
      </c>
      <c r="F19" s="2947" t="s">
        <v>3048</v>
      </c>
      <c r="K19">
        <f>SUM(K2:K18)</f>
        <v>144386.38</v>
      </c>
    </row>
    <row r="20" spans="1:12" ht="14.25">
      <c r="A20" s="2945">
        <v>19</v>
      </c>
      <c r="B20" s="2945" t="s">
        <v>3049</v>
      </c>
      <c r="C20" s="2945" t="s">
        <v>3053</v>
      </c>
      <c r="D20" s="2945">
        <v>402</v>
      </c>
      <c r="E20" s="2946">
        <v>217.88</v>
      </c>
      <c r="F20" s="2947" t="s">
        <v>3048</v>
      </c>
    </row>
    <row r="21" spans="1:12" ht="14.25">
      <c r="A21" s="2945">
        <v>20</v>
      </c>
      <c r="B21" s="2945" t="s">
        <v>3049</v>
      </c>
      <c r="C21" s="2945" t="s">
        <v>3053</v>
      </c>
      <c r="D21" s="2945">
        <v>502</v>
      </c>
      <c r="E21" s="2946">
        <v>217.88</v>
      </c>
      <c r="F21" s="2947" t="s">
        <v>3048</v>
      </c>
    </row>
    <row r="22" spans="1:12" ht="14.25">
      <c r="A22" s="2945">
        <v>21</v>
      </c>
      <c r="B22" s="2945" t="s">
        <v>3049</v>
      </c>
      <c r="C22" s="2945" t="s">
        <v>3053</v>
      </c>
      <c r="D22" s="2945">
        <v>601</v>
      </c>
      <c r="E22" s="2946">
        <v>246.21</v>
      </c>
      <c r="F22" s="2947" t="s">
        <v>3048</v>
      </c>
      <c r="J22" s="2961" t="s">
        <v>3740</v>
      </c>
      <c r="K22" s="2961">
        <v>38869.64</v>
      </c>
    </row>
    <row r="23" spans="1:12" ht="14.25">
      <c r="A23" s="2945">
        <v>22</v>
      </c>
      <c r="B23" s="2945" t="s">
        <v>3049</v>
      </c>
      <c r="C23" s="2945" t="s">
        <v>3053</v>
      </c>
      <c r="D23" s="2945">
        <v>602</v>
      </c>
      <c r="E23" s="2946">
        <v>217.88</v>
      </c>
      <c r="F23" s="2947" t="s">
        <v>3048</v>
      </c>
      <c r="J23" s="2961" t="s">
        <v>3741</v>
      </c>
      <c r="K23" s="2961">
        <f>K19</f>
        <v>144386.38</v>
      </c>
    </row>
    <row r="24" spans="1:12" ht="14.25">
      <c r="A24" s="2945">
        <v>23</v>
      </c>
      <c r="B24" s="2945" t="s">
        <v>3049</v>
      </c>
      <c r="C24" s="2945" t="s">
        <v>3053</v>
      </c>
      <c r="D24" s="2945">
        <v>701</v>
      </c>
      <c r="E24" s="2946">
        <v>240.39</v>
      </c>
      <c r="F24" s="2947" t="s">
        <v>3048</v>
      </c>
      <c r="J24" s="2961" t="s">
        <v>3742</v>
      </c>
      <c r="K24" s="2962">
        <f>E149</f>
        <v>44831.790000000008</v>
      </c>
    </row>
    <row r="25" spans="1:12" ht="14.25">
      <c r="A25" s="2945">
        <v>24</v>
      </c>
      <c r="B25" s="2948" t="s">
        <v>3049</v>
      </c>
      <c r="C25" s="2948" t="s">
        <v>3054</v>
      </c>
      <c r="D25" s="2948">
        <v>502</v>
      </c>
      <c r="E25" s="2949">
        <v>248.58</v>
      </c>
      <c r="F25" s="2947" t="s">
        <v>3048</v>
      </c>
      <c r="J25" s="2961" t="s">
        <v>3743</v>
      </c>
      <c r="K25" s="2961">
        <f>ROUND(K24/K23*K22,2)</f>
        <v>12068.97</v>
      </c>
    </row>
    <row r="26" spans="1:12" ht="14.25">
      <c r="A26" s="2945">
        <v>25</v>
      </c>
      <c r="B26" s="2948" t="s">
        <v>3049</v>
      </c>
      <c r="C26" s="2948" t="s">
        <v>3054</v>
      </c>
      <c r="D26" s="2948">
        <v>602</v>
      </c>
      <c r="E26" s="2949">
        <v>248.58</v>
      </c>
      <c r="F26" s="2947" t="s">
        <v>3048</v>
      </c>
    </row>
    <row r="27" spans="1:12" ht="14.25">
      <c r="A27" s="2945">
        <v>26</v>
      </c>
      <c r="B27" s="2955" t="s">
        <v>3049</v>
      </c>
      <c r="C27" s="2955" t="s">
        <v>3054</v>
      </c>
      <c r="D27" s="2955">
        <v>701</v>
      </c>
      <c r="E27" s="2956">
        <v>212.61</v>
      </c>
      <c r="F27" s="2947" t="s">
        <v>3048</v>
      </c>
      <c r="G27" s="2950">
        <f>SUM(E3:E27)</f>
        <v>6482.0300000000007</v>
      </c>
      <c r="J27" s="2961" t="s">
        <v>3048</v>
      </c>
      <c r="K27" s="2950">
        <f>E149</f>
        <v>44831.790000000008</v>
      </c>
      <c r="L27">
        <f>ROUND(K27/K23*K22,2)</f>
        <v>12068.97</v>
      </c>
    </row>
    <row r="28" spans="1:12" ht="14.25">
      <c r="A28" s="2945">
        <v>27</v>
      </c>
      <c r="B28" s="2945" t="s">
        <v>3055</v>
      </c>
      <c r="C28" s="2945" t="s">
        <v>3050</v>
      </c>
      <c r="D28" s="2945">
        <v>101</v>
      </c>
      <c r="E28" s="2946">
        <v>413.63</v>
      </c>
      <c r="F28" s="2947" t="s">
        <v>3048</v>
      </c>
      <c r="J28" s="2961"/>
    </row>
    <row r="29" spans="1:12" ht="14.25">
      <c r="A29" s="2945">
        <v>28</v>
      </c>
      <c r="B29" s="2945" t="s">
        <v>3055</v>
      </c>
      <c r="C29" s="2945" t="s">
        <v>3050</v>
      </c>
      <c r="D29" s="2945">
        <v>102</v>
      </c>
      <c r="E29" s="2946">
        <v>369.09</v>
      </c>
      <c r="F29" s="2947" t="s">
        <v>3048</v>
      </c>
    </row>
    <row r="30" spans="1:12" ht="14.25">
      <c r="A30" s="2945">
        <v>29</v>
      </c>
      <c r="B30" s="2945" t="s">
        <v>3055</v>
      </c>
      <c r="C30" s="2945" t="s">
        <v>3050</v>
      </c>
      <c r="D30" s="2945">
        <v>201</v>
      </c>
      <c r="E30" s="2946">
        <v>243.12</v>
      </c>
      <c r="F30" s="2947" t="s">
        <v>3048</v>
      </c>
    </row>
    <row r="31" spans="1:12" ht="14.25">
      <c r="A31" s="2945">
        <v>30</v>
      </c>
      <c r="B31" s="2945" t="s">
        <v>3055</v>
      </c>
      <c r="C31" s="2945" t="s">
        <v>3050</v>
      </c>
      <c r="D31" s="2945">
        <v>401</v>
      </c>
      <c r="E31" s="2946">
        <v>249.14</v>
      </c>
      <c r="F31" s="2947" t="s">
        <v>3048</v>
      </c>
    </row>
    <row r="32" spans="1:12" ht="14.25">
      <c r="A32" s="2945">
        <v>31</v>
      </c>
      <c r="B32" s="2945" t="s">
        <v>3055</v>
      </c>
      <c r="C32" s="2945" t="s">
        <v>3050</v>
      </c>
      <c r="D32" s="2945">
        <v>402</v>
      </c>
      <c r="E32" s="2946">
        <v>218.38</v>
      </c>
      <c r="F32" s="2947" t="s">
        <v>3048</v>
      </c>
    </row>
    <row r="33" spans="1:16" ht="14.25">
      <c r="A33" s="2945">
        <v>32</v>
      </c>
      <c r="B33" s="2945" t="s">
        <v>3055</v>
      </c>
      <c r="C33" s="2945" t="s">
        <v>3050</v>
      </c>
      <c r="D33" s="2945">
        <v>501</v>
      </c>
      <c r="E33" s="2946">
        <v>249.14</v>
      </c>
      <c r="F33" s="2947" t="s">
        <v>3048</v>
      </c>
    </row>
    <row r="34" spans="1:16" ht="14.25">
      <c r="A34" s="2945">
        <v>33</v>
      </c>
      <c r="B34" s="2945" t="s">
        <v>3055</v>
      </c>
      <c r="C34" s="2945" t="s">
        <v>3050</v>
      </c>
      <c r="D34" s="2945">
        <v>502</v>
      </c>
      <c r="E34" s="2946">
        <v>218.38</v>
      </c>
      <c r="F34" s="2947" t="s">
        <v>3048</v>
      </c>
      <c r="J34" s="2971" t="s">
        <v>3039</v>
      </c>
      <c r="K34" s="2971" t="s">
        <v>3791</v>
      </c>
      <c r="L34" s="2971" t="s">
        <v>3792</v>
      </c>
      <c r="M34" s="2971" t="s">
        <v>3793</v>
      </c>
      <c r="N34" s="2971" t="s">
        <v>3794</v>
      </c>
      <c r="O34" s="2971" t="s">
        <v>3795</v>
      </c>
      <c r="P34" s="2971" t="s">
        <v>3796</v>
      </c>
    </row>
    <row r="35" spans="1:16" ht="14.25">
      <c r="A35" s="2945">
        <v>34</v>
      </c>
      <c r="B35" s="2948" t="s">
        <v>3055</v>
      </c>
      <c r="C35" s="2948" t="s">
        <v>3050</v>
      </c>
      <c r="D35" s="2948">
        <v>601</v>
      </c>
      <c r="E35" s="2949">
        <v>249.14</v>
      </c>
      <c r="F35" s="2947" t="s">
        <v>3048</v>
      </c>
      <c r="J35" s="2971" t="s">
        <v>3044</v>
      </c>
      <c r="K35" s="2971">
        <v>273.05</v>
      </c>
      <c r="L35" s="2971">
        <v>1</v>
      </c>
      <c r="M35" s="2971">
        <v>4140.21</v>
      </c>
      <c r="N35" s="2971">
        <v>14</v>
      </c>
      <c r="O35" s="2971">
        <v>13</v>
      </c>
      <c r="P35" s="2971">
        <v>3867.16</v>
      </c>
    </row>
    <row r="36" spans="1:16" ht="14.25">
      <c r="A36" s="2945">
        <v>35</v>
      </c>
      <c r="B36" s="2945" t="s">
        <v>3055</v>
      </c>
      <c r="C36" s="2945" t="s">
        <v>3050</v>
      </c>
      <c r="D36" s="2945">
        <v>701</v>
      </c>
      <c r="E36" s="2946">
        <v>231.77</v>
      </c>
      <c r="F36" s="2947" t="s">
        <v>3048</v>
      </c>
      <c r="J36" s="2971" t="s">
        <v>3049</v>
      </c>
      <c r="K36" s="2971">
        <v>6482.0300000000007</v>
      </c>
      <c r="L36" s="2971">
        <v>25</v>
      </c>
      <c r="M36" s="2971">
        <v>14166.42</v>
      </c>
      <c r="N36" s="2971">
        <v>56</v>
      </c>
      <c r="O36" s="2971">
        <v>31</v>
      </c>
      <c r="P36" s="2971">
        <v>7684.3899999999994</v>
      </c>
    </row>
    <row r="37" spans="1:16" ht="14.25">
      <c r="A37" s="2945">
        <v>36</v>
      </c>
      <c r="B37" s="2945" t="s">
        <v>3055</v>
      </c>
      <c r="C37" s="2945" t="s">
        <v>3052</v>
      </c>
      <c r="D37" s="2945">
        <v>101</v>
      </c>
      <c r="E37" s="2946">
        <v>358.32</v>
      </c>
      <c r="F37" s="2947" t="s">
        <v>3048</v>
      </c>
      <c r="J37" s="2971" t="s">
        <v>3055</v>
      </c>
      <c r="K37" s="2971">
        <v>5390.8900000000012</v>
      </c>
      <c r="L37" s="2971">
        <v>20</v>
      </c>
      <c r="M37" s="2971">
        <v>10432.459999999999</v>
      </c>
      <c r="N37" s="2971">
        <v>42</v>
      </c>
      <c r="O37" s="2971">
        <v>22</v>
      </c>
      <c r="P37" s="2971">
        <v>5041.5699999999979</v>
      </c>
    </row>
    <row r="38" spans="1:16" ht="14.25">
      <c r="A38" s="2945">
        <v>37</v>
      </c>
      <c r="B38" s="2945" t="s">
        <v>3055</v>
      </c>
      <c r="C38" s="2945" t="s">
        <v>3052</v>
      </c>
      <c r="D38" s="2945">
        <v>102</v>
      </c>
      <c r="E38" s="2946">
        <v>358.32</v>
      </c>
      <c r="F38" s="2947" t="s">
        <v>3048</v>
      </c>
      <c r="J38" s="2971" t="s">
        <v>3056</v>
      </c>
      <c r="K38" s="2971">
        <v>2253.04</v>
      </c>
      <c r="L38" s="2971">
        <v>8</v>
      </c>
      <c r="M38" s="2971">
        <v>5853.23</v>
      </c>
      <c r="N38" s="2971">
        <v>20</v>
      </c>
      <c r="O38" s="2971">
        <v>12</v>
      </c>
      <c r="P38" s="2971">
        <v>3600.1899999999996</v>
      </c>
    </row>
    <row r="39" spans="1:16" ht="14.25">
      <c r="A39" s="2945">
        <v>38</v>
      </c>
      <c r="B39" s="2945" t="s">
        <v>3055</v>
      </c>
      <c r="C39" s="2945" t="s">
        <v>3052</v>
      </c>
      <c r="D39" s="2945">
        <v>202</v>
      </c>
      <c r="E39" s="2946">
        <v>213.1</v>
      </c>
      <c r="F39" s="2947" t="s">
        <v>3048</v>
      </c>
      <c r="J39" s="2971" t="s">
        <v>3057</v>
      </c>
      <c r="K39" s="2971">
        <v>6886.6000000000013</v>
      </c>
      <c r="L39" s="2971">
        <v>23</v>
      </c>
      <c r="M39" s="2971">
        <v>12376.71</v>
      </c>
      <c r="N39" s="2971">
        <v>42</v>
      </c>
      <c r="O39" s="2971">
        <v>19</v>
      </c>
      <c r="P39" s="2971">
        <v>5490.1099999999979</v>
      </c>
    </row>
    <row r="40" spans="1:16" ht="14.25">
      <c r="A40" s="2945">
        <v>39</v>
      </c>
      <c r="B40" s="2945" t="s">
        <v>3055</v>
      </c>
      <c r="C40" s="2945" t="s">
        <v>3052</v>
      </c>
      <c r="D40" s="2945">
        <v>301</v>
      </c>
      <c r="E40" s="2946">
        <v>218.38</v>
      </c>
      <c r="F40" s="2947" t="s">
        <v>3048</v>
      </c>
      <c r="J40" s="2971" t="s">
        <v>3058</v>
      </c>
      <c r="K40" s="2971">
        <v>1563.55</v>
      </c>
      <c r="L40" s="2971">
        <v>5</v>
      </c>
      <c r="M40" s="2971">
        <v>4146.33</v>
      </c>
      <c r="N40" s="2971">
        <v>14</v>
      </c>
      <c r="O40" s="2971">
        <v>9</v>
      </c>
      <c r="P40" s="2971">
        <v>2582.7799999999997</v>
      </c>
    </row>
    <row r="41" spans="1:16" ht="14.25">
      <c r="A41" s="2945">
        <v>40</v>
      </c>
      <c r="B41" s="2945" t="s">
        <v>3055</v>
      </c>
      <c r="C41" s="2945" t="s">
        <v>3052</v>
      </c>
      <c r="D41" s="2945">
        <v>601</v>
      </c>
      <c r="E41" s="2946">
        <v>218.38</v>
      </c>
      <c r="F41" s="2947" t="s">
        <v>3048</v>
      </c>
      <c r="J41" s="2971" t="s">
        <v>3059</v>
      </c>
      <c r="K41" s="2971">
        <v>2617.77</v>
      </c>
      <c r="L41" s="2971">
        <v>7</v>
      </c>
      <c r="M41" s="2971">
        <v>3410.63</v>
      </c>
      <c r="N41" s="2971">
        <v>10</v>
      </c>
      <c r="O41" s="2971">
        <v>3</v>
      </c>
      <c r="P41" s="2971">
        <v>792.86000000000013</v>
      </c>
    </row>
    <row r="42" spans="1:16" ht="14.25">
      <c r="A42" s="2945">
        <v>41</v>
      </c>
      <c r="B42" s="2945" t="s">
        <v>3055</v>
      </c>
      <c r="C42" s="2945" t="s">
        <v>3053</v>
      </c>
      <c r="D42" s="2945">
        <v>102</v>
      </c>
      <c r="E42" s="2946">
        <v>413.63</v>
      </c>
      <c r="F42" s="2947" t="s">
        <v>3048</v>
      </c>
      <c r="J42" s="2971" t="s">
        <v>3060</v>
      </c>
      <c r="K42" s="2971">
        <v>6571.0399999999991</v>
      </c>
      <c r="L42" s="2971">
        <v>23</v>
      </c>
      <c r="M42" s="2971">
        <v>12376.83</v>
      </c>
      <c r="N42" s="2971">
        <v>42</v>
      </c>
      <c r="O42" s="2971">
        <v>19</v>
      </c>
      <c r="P42" s="2971">
        <v>5805.7900000000009</v>
      </c>
    </row>
    <row r="43" spans="1:16" ht="14.25">
      <c r="A43" s="2945">
        <v>42</v>
      </c>
      <c r="B43" s="2945" t="s">
        <v>3055</v>
      </c>
      <c r="C43" s="2945" t="s">
        <v>3053</v>
      </c>
      <c r="D43" s="2945">
        <v>501</v>
      </c>
      <c r="E43" s="2946">
        <v>218.38</v>
      </c>
      <c r="F43" s="2947" t="s">
        <v>3048</v>
      </c>
      <c r="J43" s="2971" t="s">
        <v>3063</v>
      </c>
      <c r="K43" s="2971">
        <v>2252.9799999999996</v>
      </c>
      <c r="L43" s="2971">
        <v>7</v>
      </c>
      <c r="M43" s="2971">
        <v>4146.29</v>
      </c>
      <c r="N43" s="2971">
        <v>14</v>
      </c>
      <c r="O43" s="2971">
        <v>7</v>
      </c>
      <c r="P43" s="2971">
        <v>1893.3100000000004</v>
      </c>
    </row>
    <row r="44" spans="1:16" ht="14.25">
      <c r="A44" s="2945">
        <v>43</v>
      </c>
      <c r="B44" s="2945" t="s">
        <v>3055</v>
      </c>
      <c r="C44" s="2945" t="s">
        <v>3053</v>
      </c>
      <c r="D44" s="2945">
        <v>502</v>
      </c>
      <c r="E44" s="2946">
        <v>251.3</v>
      </c>
      <c r="F44" s="2947" t="s">
        <v>3048</v>
      </c>
      <c r="J44" s="2971" t="s">
        <v>3737</v>
      </c>
      <c r="K44" s="2971">
        <v>838.52</v>
      </c>
      <c r="L44" s="2971">
        <v>3</v>
      </c>
      <c r="M44" s="2971">
        <v>3103.23</v>
      </c>
      <c r="N44" s="2971">
        <v>10</v>
      </c>
      <c r="O44" s="2971">
        <v>7</v>
      </c>
      <c r="P44" s="2971">
        <v>2264.71</v>
      </c>
    </row>
    <row r="45" spans="1:16" ht="14.25">
      <c r="A45" s="2945">
        <v>44</v>
      </c>
      <c r="B45" s="2945" t="s">
        <v>3055</v>
      </c>
      <c r="C45" s="2945" t="s">
        <v>3053</v>
      </c>
      <c r="D45" s="2945">
        <v>601</v>
      </c>
      <c r="E45" s="2946">
        <v>218.38</v>
      </c>
      <c r="F45" s="2947" t="s">
        <v>3048</v>
      </c>
      <c r="J45" s="2971" t="s">
        <v>3738</v>
      </c>
      <c r="K45" s="2971">
        <v>2586.8499999999995</v>
      </c>
      <c r="L45" s="2971">
        <v>5</v>
      </c>
      <c r="M45" s="2971">
        <v>2586.85</v>
      </c>
      <c r="N45" s="2971">
        <v>5</v>
      </c>
      <c r="O45" s="2971">
        <v>0</v>
      </c>
      <c r="P45" s="2971">
        <v>0</v>
      </c>
    </row>
    <row r="46" spans="1:16" ht="14.25">
      <c r="A46" s="2945">
        <v>45</v>
      </c>
      <c r="B46" s="2945" t="s">
        <v>3055</v>
      </c>
      <c r="C46" s="2945" t="s">
        <v>3053</v>
      </c>
      <c r="D46" s="2945">
        <v>602</v>
      </c>
      <c r="E46" s="2946">
        <v>249.14</v>
      </c>
      <c r="F46" s="2947" t="s">
        <v>3048</v>
      </c>
      <c r="J46" s="2971" t="s">
        <v>3066</v>
      </c>
      <c r="K46" s="2971">
        <v>2234.56</v>
      </c>
      <c r="L46" s="2971">
        <v>6</v>
      </c>
      <c r="M46" s="2971">
        <v>4436.6000000000004</v>
      </c>
      <c r="N46" s="2971">
        <v>13</v>
      </c>
      <c r="O46" s="2971">
        <v>7</v>
      </c>
      <c r="P46" s="2971">
        <v>2202.0400000000004</v>
      </c>
    </row>
    <row r="47" spans="1:16" ht="14.25">
      <c r="A47" s="2945">
        <v>46</v>
      </c>
      <c r="B47" s="2953" t="s">
        <v>3055</v>
      </c>
      <c r="C47" s="2953" t="s">
        <v>3053</v>
      </c>
      <c r="D47" s="2953">
        <v>702</v>
      </c>
      <c r="E47" s="2954">
        <v>231.77</v>
      </c>
      <c r="F47" s="2957" t="s">
        <v>3048</v>
      </c>
      <c r="G47" s="2950">
        <f>SUM(E28:E47)</f>
        <v>5390.8900000000012</v>
      </c>
      <c r="J47" s="2971" t="s">
        <v>3067</v>
      </c>
      <c r="K47" s="2971">
        <v>2586.61</v>
      </c>
      <c r="L47" s="2971">
        <v>7</v>
      </c>
      <c r="M47" s="2971">
        <v>4482.22</v>
      </c>
      <c r="N47" s="2971">
        <v>13</v>
      </c>
      <c r="O47" s="2971">
        <v>6</v>
      </c>
      <c r="P47" s="2971">
        <v>1895.6100000000001</v>
      </c>
    </row>
    <row r="48" spans="1:16" ht="14.25">
      <c r="A48" s="2945">
        <v>47</v>
      </c>
      <c r="B48" s="2945" t="s">
        <v>3056</v>
      </c>
      <c r="C48" s="2945" t="s">
        <v>3050</v>
      </c>
      <c r="D48" s="2945">
        <v>201</v>
      </c>
      <c r="E48" s="2946">
        <v>271.39999999999998</v>
      </c>
      <c r="F48" s="2947" t="s">
        <v>3048</v>
      </c>
      <c r="J48" s="2971" t="s">
        <v>3068</v>
      </c>
      <c r="K48" s="2971">
        <v>2294.3000000000002</v>
      </c>
      <c r="L48" s="2971">
        <v>7</v>
      </c>
      <c r="M48" s="2971">
        <v>3613.08</v>
      </c>
      <c r="N48" s="2971">
        <v>12</v>
      </c>
      <c r="O48" s="2971">
        <v>5</v>
      </c>
      <c r="P48" s="2971">
        <v>1318.7799999999997</v>
      </c>
    </row>
    <row r="49" spans="1:16" ht="14.25">
      <c r="A49" s="2945">
        <v>48</v>
      </c>
      <c r="B49" s="2945" t="s">
        <v>3056</v>
      </c>
      <c r="C49" s="2945" t="s">
        <v>3050</v>
      </c>
      <c r="D49" s="2945">
        <v>202</v>
      </c>
      <c r="E49" s="2946">
        <v>243.26</v>
      </c>
      <c r="F49" s="2947" t="s">
        <v>3048</v>
      </c>
      <c r="J49" s="2971" t="s">
        <v>3797</v>
      </c>
      <c r="K49" s="2971">
        <v>49978.879999999779</v>
      </c>
      <c r="L49" s="2971">
        <v>663</v>
      </c>
      <c r="M49" s="2971">
        <v>50628.72999999977</v>
      </c>
      <c r="N49" s="2971"/>
      <c r="O49" s="2971">
        <v>7</v>
      </c>
      <c r="P49" s="2971">
        <v>649.84999999999127</v>
      </c>
    </row>
    <row r="50" spans="1:16" ht="14.25">
      <c r="A50" s="2945">
        <v>49</v>
      </c>
      <c r="B50" s="2945" t="s">
        <v>3056</v>
      </c>
      <c r="C50" s="2945" t="s">
        <v>3050</v>
      </c>
      <c r="D50" s="2945">
        <v>301</v>
      </c>
      <c r="E50" s="2946">
        <v>279.39999999999998</v>
      </c>
      <c r="F50" s="2947" t="s">
        <v>3048</v>
      </c>
      <c r="J50" s="2971" t="s">
        <v>3798</v>
      </c>
      <c r="K50" s="2971">
        <v>44831.789999999994</v>
      </c>
      <c r="L50" s="2971">
        <v>810</v>
      </c>
      <c r="M50" s="2971">
        <v>89271.09</v>
      </c>
      <c r="N50" s="2971">
        <v>307</v>
      </c>
      <c r="O50" s="2971">
        <v>160</v>
      </c>
      <c r="P50" s="2971">
        <v>44439.299999999988</v>
      </c>
    </row>
    <row r="51" spans="1:16" ht="14.25">
      <c r="A51" s="2945">
        <v>50</v>
      </c>
      <c r="B51" s="2948" t="s">
        <v>3056</v>
      </c>
      <c r="C51" s="2948" t="s">
        <v>3050</v>
      </c>
      <c r="D51" s="2948">
        <v>302</v>
      </c>
      <c r="E51" s="2949">
        <v>250.61</v>
      </c>
      <c r="F51" s="2947" t="s">
        <v>3048</v>
      </c>
      <c r="J51" s="2971" t="s">
        <v>3799</v>
      </c>
      <c r="K51" s="2971">
        <v>49978.879999999779</v>
      </c>
      <c r="L51" s="2971"/>
      <c r="M51" s="2971"/>
      <c r="N51" s="2971"/>
      <c r="O51" s="2971"/>
      <c r="P51" s="2971"/>
    </row>
    <row r="52" spans="1:16" ht="14.25">
      <c r="A52" s="2945">
        <v>51</v>
      </c>
      <c r="B52" s="2948" t="s">
        <v>3056</v>
      </c>
      <c r="C52" s="2948" t="s">
        <v>3052</v>
      </c>
      <c r="D52" s="2948">
        <v>102</v>
      </c>
      <c r="E52" s="2949">
        <v>446.02</v>
      </c>
      <c r="F52" s="2947" t="s">
        <v>3048</v>
      </c>
      <c r="J52" s="2971" t="s">
        <v>3800</v>
      </c>
      <c r="K52" s="2971">
        <v>94810.66999999978</v>
      </c>
      <c r="L52" s="2971"/>
      <c r="M52" s="2971"/>
      <c r="N52" s="2971"/>
      <c r="O52" s="2971"/>
      <c r="P52" s="2971"/>
    </row>
    <row r="53" spans="1:16" ht="14.25">
      <c r="A53" s="2945">
        <v>52</v>
      </c>
      <c r="B53" s="2948" t="s">
        <v>3056</v>
      </c>
      <c r="C53" s="2948" t="s">
        <v>3052</v>
      </c>
      <c r="D53" s="2948">
        <v>201</v>
      </c>
      <c r="E53" s="2949">
        <v>243.26</v>
      </c>
      <c r="F53" s="2947" t="s">
        <v>3048</v>
      </c>
    </row>
    <row r="54" spans="1:16" ht="14.25">
      <c r="A54" s="2945">
        <v>53</v>
      </c>
      <c r="B54" s="2948" t="s">
        <v>3056</v>
      </c>
      <c r="C54" s="2948" t="s">
        <v>3052</v>
      </c>
      <c r="D54" s="2948">
        <v>402</v>
      </c>
      <c r="E54" s="2949">
        <v>276.87</v>
      </c>
      <c r="F54" s="2947" t="s">
        <v>3048</v>
      </c>
    </row>
    <row r="55" spans="1:16" ht="14.25">
      <c r="A55" s="2945">
        <v>54</v>
      </c>
      <c r="B55" s="2955" t="s">
        <v>3056</v>
      </c>
      <c r="C55" s="2955" t="s">
        <v>3052</v>
      </c>
      <c r="D55" s="2955">
        <v>501</v>
      </c>
      <c r="E55" s="2956">
        <v>242.22</v>
      </c>
      <c r="F55" s="2957" t="s">
        <v>3048</v>
      </c>
      <c r="G55" s="2950">
        <f>SUM(E48:E55)</f>
        <v>2253.04</v>
      </c>
    </row>
    <row r="56" spans="1:16" ht="14.25">
      <c r="A56" s="2945">
        <v>55</v>
      </c>
      <c r="B56" s="2945" t="s">
        <v>3057</v>
      </c>
      <c r="C56" s="2945" t="s">
        <v>3050</v>
      </c>
      <c r="D56" s="2945" t="s">
        <v>3045</v>
      </c>
      <c r="E56" s="2946">
        <v>548.17999999999995</v>
      </c>
      <c r="F56" s="2947" t="s">
        <v>3048</v>
      </c>
    </row>
    <row r="57" spans="1:16" ht="14.25">
      <c r="A57" s="2945">
        <v>56</v>
      </c>
      <c r="B57" s="2945" t="s">
        <v>3057</v>
      </c>
      <c r="C57" s="2945" t="s">
        <v>3050</v>
      </c>
      <c r="D57" s="2945">
        <v>102</v>
      </c>
      <c r="E57" s="2946">
        <v>452.58</v>
      </c>
      <c r="F57" s="2947" t="s">
        <v>3048</v>
      </c>
    </row>
    <row r="58" spans="1:16" ht="14.25">
      <c r="A58" s="2945">
        <v>57</v>
      </c>
      <c r="B58" s="2945" t="s">
        <v>3057</v>
      </c>
      <c r="C58" s="2945" t="s">
        <v>3050</v>
      </c>
      <c r="D58" s="2945">
        <v>201</v>
      </c>
      <c r="E58" s="2946">
        <v>324.52</v>
      </c>
      <c r="F58" s="2947" t="s">
        <v>3048</v>
      </c>
    </row>
    <row r="59" spans="1:16" ht="14.25">
      <c r="A59" s="2945">
        <v>58</v>
      </c>
      <c r="B59" s="2945" t="s">
        <v>3057</v>
      </c>
      <c r="C59" s="2945" t="s">
        <v>3050</v>
      </c>
      <c r="D59" s="2945">
        <v>202</v>
      </c>
      <c r="E59" s="2946">
        <v>263.66000000000003</v>
      </c>
      <c r="F59" s="2947" t="s">
        <v>3048</v>
      </c>
    </row>
    <row r="60" spans="1:16" ht="14.25">
      <c r="A60" s="2945">
        <v>59</v>
      </c>
      <c r="B60" s="2945" t="s">
        <v>3057</v>
      </c>
      <c r="C60" s="2945" t="s">
        <v>3050</v>
      </c>
      <c r="D60" s="2945">
        <v>301</v>
      </c>
      <c r="E60" s="2946">
        <v>331.65</v>
      </c>
      <c r="F60" s="2947" t="s">
        <v>3048</v>
      </c>
    </row>
    <row r="61" spans="1:16" ht="14.25">
      <c r="A61" s="2945">
        <v>60</v>
      </c>
      <c r="B61" s="2945" t="s">
        <v>3057</v>
      </c>
      <c r="C61" s="2945" t="s">
        <v>3050</v>
      </c>
      <c r="D61" s="2945">
        <v>402</v>
      </c>
      <c r="E61" s="2946">
        <v>269.95999999999998</v>
      </c>
      <c r="F61" s="2947" t="s">
        <v>3048</v>
      </c>
    </row>
    <row r="62" spans="1:16" ht="14.25">
      <c r="A62" s="2945">
        <v>61</v>
      </c>
      <c r="B62" s="2945" t="s">
        <v>3057</v>
      </c>
      <c r="C62" s="2945" t="s">
        <v>3050</v>
      </c>
      <c r="D62" s="2945">
        <v>501</v>
      </c>
      <c r="E62" s="2946">
        <v>331.65</v>
      </c>
      <c r="F62" s="2947" t="s">
        <v>3048</v>
      </c>
    </row>
    <row r="63" spans="1:16" ht="14.25">
      <c r="A63" s="2945">
        <v>62</v>
      </c>
      <c r="B63" s="2945" t="s">
        <v>3057</v>
      </c>
      <c r="C63" s="2945" t="s">
        <v>3050</v>
      </c>
      <c r="D63" s="2945">
        <v>601</v>
      </c>
      <c r="E63" s="2946">
        <v>329.24</v>
      </c>
      <c r="F63" s="2947" t="s">
        <v>3048</v>
      </c>
    </row>
    <row r="64" spans="1:16" ht="14.25">
      <c r="A64" s="2945">
        <v>63</v>
      </c>
      <c r="B64" s="2945" t="s">
        <v>3057</v>
      </c>
      <c r="C64" s="2945" t="s">
        <v>3050</v>
      </c>
      <c r="D64" s="2945">
        <v>602</v>
      </c>
      <c r="E64" s="2946">
        <v>269.95999999999998</v>
      </c>
      <c r="F64" s="2947" t="s">
        <v>3048</v>
      </c>
    </row>
    <row r="65" spans="1:7" ht="14.25">
      <c r="A65" s="2945">
        <v>64</v>
      </c>
      <c r="B65" s="2945" t="s">
        <v>3057</v>
      </c>
      <c r="C65" s="2945" t="s">
        <v>3050</v>
      </c>
      <c r="D65" s="2945">
        <v>701</v>
      </c>
      <c r="E65" s="2946">
        <v>308.76</v>
      </c>
      <c r="F65" s="2947" t="s">
        <v>3048</v>
      </c>
    </row>
    <row r="66" spans="1:7" ht="14.25">
      <c r="A66" s="2945">
        <v>65</v>
      </c>
      <c r="B66" s="2945" t="s">
        <v>3057</v>
      </c>
      <c r="C66" s="2945" t="s">
        <v>3052</v>
      </c>
      <c r="D66" s="2945">
        <v>202</v>
      </c>
      <c r="E66" s="2946">
        <v>208.53</v>
      </c>
      <c r="F66" s="2947" t="s">
        <v>3048</v>
      </c>
    </row>
    <row r="67" spans="1:7" ht="14.25">
      <c r="A67" s="2945">
        <v>66</v>
      </c>
      <c r="B67" s="2945" t="s">
        <v>3057</v>
      </c>
      <c r="C67" s="2945" t="s">
        <v>3052</v>
      </c>
      <c r="D67" s="2945">
        <v>301</v>
      </c>
      <c r="E67" s="2946">
        <v>212.71</v>
      </c>
      <c r="F67" s="2947" t="s">
        <v>3048</v>
      </c>
    </row>
    <row r="68" spans="1:7" ht="14.25">
      <c r="A68" s="2945">
        <v>67</v>
      </c>
      <c r="B68" s="2945" t="s">
        <v>3057</v>
      </c>
      <c r="C68" s="2945" t="s">
        <v>3052</v>
      </c>
      <c r="D68" s="2945">
        <v>401</v>
      </c>
      <c r="E68" s="2946">
        <v>212.71</v>
      </c>
      <c r="F68" s="2947" t="s">
        <v>3048</v>
      </c>
    </row>
    <row r="69" spans="1:7" ht="14.25">
      <c r="A69" s="2945">
        <v>68</v>
      </c>
      <c r="B69" s="2945" t="s">
        <v>3057</v>
      </c>
      <c r="C69" s="2945" t="s">
        <v>3052</v>
      </c>
      <c r="D69" s="2945">
        <v>502</v>
      </c>
      <c r="E69" s="2946">
        <v>213.7</v>
      </c>
      <c r="F69" s="2947" t="s">
        <v>3048</v>
      </c>
    </row>
    <row r="70" spans="1:7" ht="14.25">
      <c r="A70" s="2945">
        <v>69</v>
      </c>
      <c r="B70" s="2945" t="s">
        <v>3057</v>
      </c>
      <c r="C70" s="2945" t="s">
        <v>3052</v>
      </c>
      <c r="D70" s="2945">
        <v>701</v>
      </c>
      <c r="E70" s="2946">
        <v>208.52</v>
      </c>
      <c r="F70" s="2947" t="s">
        <v>3048</v>
      </c>
    </row>
    <row r="71" spans="1:7" ht="14.25">
      <c r="A71" s="2945">
        <v>70</v>
      </c>
      <c r="B71" s="2945" t="s">
        <v>3057</v>
      </c>
      <c r="C71" s="2945" t="s">
        <v>3052</v>
      </c>
      <c r="D71" s="2945">
        <v>702</v>
      </c>
      <c r="E71" s="2946">
        <v>208.52</v>
      </c>
      <c r="F71" s="2947" t="s">
        <v>3048</v>
      </c>
    </row>
    <row r="72" spans="1:7" ht="14.25">
      <c r="A72" s="2945">
        <v>71</v>
      </c>
      <c r="B72" s="2945" t="s">
        <v>3057</v>
      </c>
      <c r="C72" s="2945" t="s">
        <v>3053</v>
      </c>
      <c r="D72" s="2945" t="s">
        <v>3045</v>
      </c>
      <c r="E72" s="2946">
        <v>454.39</v>
      </c>
      <c r="F72" s="2947" t="s">
        <v>3048</v>
      </c>
    </row>
    <row r="73" spans="1:7" ht="14.25">
      <c r="A73" s="2945">
        <v>72</v>
      </c>
      <c r="B73" s="2945" t="s">
        <v>3057</v>
      </c>
      <c r="C73" s="2945" t="s">
        <v>3053</v>
      </c>
      <c r="D73" s="2945">
        <v>201</v>
      </c>
      <c r="E73" s="2946">
        <v>264.37</v>
      </c>
      <c r="F73" s="2947" t="s">
        <v>3048</v>
      </c>
    </row>
    <row r="74" spans="1:7" ht="14.25">
      <c r="A74" s="2945">
        <v>73</v>
      </c>
      <c r="B74" s="2945" t="s">
        <v>3057</v>
      </c>
      <c r="C74" s="2945" t="s">
        <v>3053</v>
      </c>
      <c r="D74" s="2945">
        <v>401</v>
      </c>
      <c r="E74" s="2946">
        <v>270.7</v>
      </c>
      <c r="F74" s="2947" t="s">
        <v>3048</v>
      </c>
    </row>
    <row r="75" spans="1:7" ht="14.25">
      <c r="A75" s="2945">
        <v>74</v>
      </c>
      <c r="B75" s="2945" t="s">
        <v>3057</v>
      </c>
      <c r="C75" s="2945" t="s">
        <v>3053</v>
      </c>
      <c r="D75" s="2945">
        <v>501</v>
      </c>
      <c r="E75" s="2946">
        <v>270.7</v>
      </c>
      <c r="F75" s="2947" t="s">
        <v>3048</v>
      </c>
    </row>
    <row r="76" spans="1:7" ht="14.25">
      <c r="A76" s="2945">
        <v>75</v>
      </c>
      <c r="B76" s="2945" t="s">
        <v>3057</v>
      </c>
      <c r="C76" s="2945" t="s">
        <v>3053</v>
      </c>
      <c r="D76" s="2945">
        <v>502</v>
      </c>
      <c r="E76" s="2946">
        <v>331.65</v>
      </c>
      <c r="F76" s="2947" t="s">
        <v>3048</v>
      </c>
    </row>
    <row r="77" spans="1:7" ht="14.25">
      <c r="A77" s="2945">
        <v>76</v>
      </c>
      <c r="B77" s="2945" t="s">
        <v>3057</v>
      </c>
      <c r="C77" s="2945" t="s">
        <v>3053</v>
      </c>
      <c r="D77" s="2945">
        <v>601</v>
      </c>
      <c r="E77" s="2946">
        <v>270.7</v>
      </c>
      <c r="F77" s="2947" t="s">
        <v>3048</v>
      </c>
    </row>
    <row r="78" spans="1:7" ht="14.25">
      <c r="A78" s="2945">
        <v>77</v>
      </c>
      <c r="B78" s="2945" t="s">
        <v>3057</v>
      </c>
      <c r="C78" s="2945" t="s">
        <v>3053</v>
      </c>
      <c r="D78" s="2945">
        <v>602</v>
      </c>
      <c r="E78" s="2946">
        <v>329.24</v>
      </c>
      <c r="F78" s="2947" t="s">
        <v>3048</v>
      </c>
      <c r="G78" s="2950">
        <f>SUM(E56:E78)</f>
        <v>6886.6000000000013</v>
      </c>
    </row>
    <row r="79" spans="1:7" ht="14.25">
      <c r="A79" s="2945">
        <v>78</v>
      </c>
      <c r="B79" s="2945" t="s">
        <v>3058</v>
      </c>
      <c r="C79" s="2945" t="s">
        <v>70</v>
      </c>
      <c r="D79" s="2945">
        <v>102</v>
      </c>
      <c r="E79" s="2946">
        <v>465.41</v>
      </c>
      <c r="F79" s="2947" t="s">
        <v>3048</v>
      </c>
    </row>
    <row r="80" spans="1:7" ht="14.25">
      <c r="A80" s="2945">
        <v>79</v>
      </c>
      <c r="B80" s="2945" t="s">
        <v>3058</v>
      </c>
      <c r="C80" s="2945" t="s">
        <v>70</v>
      </c>
      <c r="D80" s="2945">
        <v>401</v>
      </c>
      <c r="E80" s="2946">
        <v>275.32</v>
      </c>
      <c r="F80" s="2947" t="s">
        <v>3048</v>
      </c>
    </row>
    <row r="81" spans="1:7" ht="14.25">
      <c r="A81" s="2945">
        <v>80</v>
      </c>
      <c r="B81" s="2945" t="s">
        <v>3058</v>
      </c>
      <c r="C81" s="2945" t="s">
        <v>70</v>
      </c>
      <c r="D81" s="2945">
        <v>501</v>
      </c>
      <c r="E81" s="2946">
        <v>275.32</v>
      </c>
      <c r="F81" s="2947" t="s">
        <v>3048</v>
      </c>
    </row>
    <row r="82" spans="1:7" ht="14.25">
      <c r="A82" s="2945">
        <v>81</v>
      </c>
      <c r="B82" s="2945" t="s">
        <v>3058</v>
      </c>
      <c r="C82" s="2945" t="s">
        <v>3046</v>
      </c>
      <c r="D82" s="2945">
        <v>502</v>
      </c>
      <c r="E82" s="2946">
        <v>274.91000000000003</v>
      </c>
      <c r="F82" s="2947" t="s">
        <v>3048</v>
      </c>
    </row>
    <row r="83" spans="1:7" ht="14.25">
      <c r="A83" s="2945">
        <v>82</v>
      </c>
      <c r="B83" s="2953" t="s">
        <v>3058</v>
      </c>
      <c r="C83" s="2953" t="s">
        <v>70</v>
      </c>
      <c r="D83" s="2953">
        <v>602</v>
      </c>
      <c r="E83" s="2954">
        <v>272.58999999999997</v>
      </c>
      <c r="F83" s="2947" t="s">
        <v>3048</v>
      </c>
      <c r="G83" s="2950">
        <f>SUM(E79:E83)</f>
        <v>1563.55</v>
      </c>
    </row>
    <row r="84" spans="1:7" ht="14.25">
      <c r="A84" s="2945">
        <v>83</v>
      </c>
      <c r="B84" s="2945" t="s">
        <v>3059</v>
      </c>
      <c r="C84" s="2945" t="s">
        <v>70</v>
      </c>
      <c r="D84" s="2945">
        <v>101</v>
      </c>
      <c r="E84" s="2946">
        <v>464.87</v>
      </c>
      <c r="F84" s="2952" t="s">
        <v>3048</v>
      </c>
    </row>
    <row r="85" spans="1:7" ht="14.25">
      <c r="A85" s="2945">
        <v>84</v>
      </c>
      <c r="B85" s="2945" t="s">
        <v>3059</v>
      </c>
      <c r="C85" s="2945" t="s">
        <v>70</v>
      </c>
      <c r="D85" s="2945">
        <v>102</v>
      </c>
      <c r="E85" s="2946">
        <v>562.08000000000004</v>
      </c>
      <c r="F85" s="2952" t="s">
        <v>3048</v>
      </c>
    </row>
    <row r="86" spans="1:7" ht="14.25">
      <c r="A86" s="2945">
        <v>85</v>
      </c>
      <c r="B86" s="2945" t="s">
        <v>3059</v>
      </c>
      <c r="C86" s="2945" t="s">
        <v>70</v>
      </c>
      <c r="D86" s="2945">
        <v>202</v>
      </c>
      <c r="E86" s="2946">
        <v>328.75</v>
      </c>
      <c r="F86" s="2952" t="s">
        <v>3048</v>
      </c>
    </row>
    <row r="87" spans="1:7" ht="14.25">
      <c r="A87" s="2945">
        <v>86</v>
      </c>
      <c r="B87" s="2945" t="s">
        <v>3059</v>
      </c>
      <c r="C87" s="2945" t="s">
        <v>70</v>
      </c>
      <c r="D87" s="2945">
        <v>301</v>
      </c>
      <c r="E87" s="2946">
        <v>275.11</v>
      </c>
      <c r="F87" s="2952" t="s">
        <v>3048</v>
      </c>
    </row>
    <row r="88" spans="1:7" ht="14.25">
      <c r="A88" s="2945">
        <v>87</v>
      </c>
      <c r="B88" s="2945" t="s">
        <v>3059</v>
      </c>
      <c r="C88" s="2945" t="s">
        <v>70</v>
      </c>
      <c r="D88" s="2945">
        <v>302</v>
      </c>
      <c r="E88" s="2946">
        <v>338.27</v>
      </c>
      <c r="F88" s="2952" t="s">
        <v>3048</v>
      </c>
    </row>
    <row r="89" spans="1:7" ht="14.25">
      <c r="A89" s="2945">
        <v>88</v>
      </c>
      <c r="B89" s="2945" t="s">
        <v>3059</v>
      </c>
      <c r="C89" s="2945" t="s">
        <v>70</v>
      </c>
      <c r="D89" s="2945">
        <v>402</v>
      </c>
      <c r="E89" s="2946">
        <v>335.88</v>
      </c>
      <c r="F89" s="2952" t="s">
        <v>3048</v>
      </c>
    </row>
    <row r="90" spans="1:7" ht="14.25">
      <c r="A90" s="2945">
        <v>89</v>
      </c>
      <c r="B90" s="2953" t="s">
        <v>3059</v>
      </c>
      <c r="C90" s="2953" t="s">
        <v>3046</v>
      </c>
      <c r="D90" s="2953">
        <v>502</v>
      </c>
      <c r="E90" s="2954">
        <v>312.81</v>
      </c>
      <c r="F90" s="2952" t="s">
        <v>3048</v>
      </c>
      <c r="G90" s="2950">
        <f>SUM(E84:E90)</f>
        <v>2617.77</v>
      </c>
    </row>
    <row r="91" spans="1:7" ht="14.25">
      <c r="A91" s="2945">
        <v>90</v>
      </c>
      <c r="B91" s="2945" t="s">
        <v>3060</v>
      </c>
      <c r="C91" s="2945" t="s">
        <v>3050</v>
      </c>
      <c r="D91" s="2945">
        <v>101</v>
      </c>
      <c r="E91" s="2946">
        <v>548.25</v>
      </c>
      <c r="F91" s="2952" t="s">
        <v>3048</v>
      </c>
    </row>
    <row r="92" spans="1:7" ht="14.25">
      <c r="A92" s="2945">
        <v>91</v>
      </c>
      <c r="B92" s="2945" t="s">
        <v>3060</v>
      </c>
      <c r="C92" s="2945" t="s">
        <v>3050</v>
      </c>
      <c r="D92" s="2945">
        <v>102</v>
      </c>
      <c r="E92" s="2946">
        <v>452.97</v>
      </c>
      <c r="F92" s="2952" t="s">
        <v>3048</v>
      </c>
    </row>
    <row r="93" spans="1:7" ht="14.25">
      <c r="A93" s="2945">
        <v>92</v>
      </c>
      <c r="B93" s="2945" t="s">
        <v>3060</v>
      </c>
      <c r="C93" s="2945" t="s">
        <v>3050</v>
      </c>
      <c r="D93" s="2945">
        <v>202</v>
      </c>
      <c r="E93" s="2946">
        <v>263.64999999999998</v>
      </c>
      <c r="F93" s="2952" t="s">
        <v>3048</v>
      </c>
    </row>
    <row r="94" spans="1:7" ht="14.25">
      <c r="A94" s="2945">
        <v>93</v>
      </c>
      <c r="B94" s="2945" t="s">
        <v>3060</v>
      </c>
      <c r="C94" s="2945" t="s">
        <v>3050</v>
      </c>
      <c r="D94" s="2945">
        <v>402</v>
      </c>
      <c r="E94" s="2946">
        <v>269.95</v>
      </c>
      <c r="F94" s="2952" t="s">
        <v>3048</v>
      </c>
    </row>
    <row r="95" spans="1:7" ht="14.25">
      <c r="A95" s="2945">
        <v>94</v>
      </c>
      <c r="B95" s="2945" t="s">
        <v>3060</v>
      </c>
      <c r="C95" s="2945" t="s">
        <v>3050</v>
      </c>
      <c r="D95" s="2945">
        <v>502</v>
      </c>
      <c r="E95" s="2946">
        <v>269.95</v>
      </c>
      <c r="F95" s="2952" t="s">
        <v>3048</v>
      </c>
    </row>
    <row r="96" spans="1:7" ht="14.25">
      <c r="A96" s="2945">
        <v>95</v>
      </c>
      <c r="B96" s="2945" t="s">
        <v>3060</v>
      </c>
      <c r="C96" s="2945" t="s">
        <v>3050</v>
      </c>
      <c r="D96" s="2945">
        <v>601</v>
      </c>
      <c r="E96" s="2946">
        <v>329.24</v>
      </c>
      <c r="F96" s="2952" t="s">
        <v>3048</v>
      </c>
    </row>
    <row r="97" spans="1:6" ht="14.25">
      <c r="A97" s="2945">
        <v>96</v>
      </c>
      <c r="B97" s="2945" t="s">
        <v>3060</v>
      </c>
      <c r="C97" s="2945" t="s">
        <v>3050</v>
      </c>
      <c r="D97" s="2945">
        <v>602</v>
      </c>
      <c r="E97" s="2946">
        <v>269.95</v>
      </c>
      <c r="F97" s="2952" t="s">
        <v>3048</v>
      </c>
    </row>
    <row r="98" spans="1:6" ht="14.25">
      <c r="A98" s="2945">
        <v>97</v>
      </c>
      <c r="B98" s="2945" t="s">
        <v>3060</v>
      </c>
      <c r="C98" s="2945" t="s">
        <v>3052</v>
      </c>
      <c r="D98" s="2945">
        <v>301</v>
      </c>
      <c r="E98" s="2946">
        <v>212.71</v>
      </c>
      <c r="F98" s="2952" t="s">
        <v>3048</v>
      </c>
    </row>
    <row r="99" spans="1:6" ht="14.25">
      <c r="A99" s="2945">
        <v>98</v>
      </c>
      <c r="B99" s="2945" t="s">
        <v>3060</v>
      </c>
      <c r="C99" s="2945" t="s">
        <v>3052</v>
      </c>
      <c r="D99" s="2945">
        <v>302</v>
      </c>
      <c r="E99" s="2946">
        <v>213.7</v>
      </c>
      <c r="F99" s="2952" t="s">
        <v>3048</v>
      </c>
    </row>
    <row r="100" spans="1:6" ht="14.25">
      <c r="A100" s="2945">
        <v>99</v>
      </c>
      <c r="B100" s="2945" t="s">
        <v>3060</v>
      </c>
      <c r="C100" s="2945" t="s">
        <v>3052</v>
      </c>
      <c r="D100" s="2945">
        <v>402</v>
      </c>
      <c r="E100" s="2946">
        <v>213.7</v>
      </c>
      <c r="F100" s="2952" t="s">
        <v>3048</v>
      </c>
    </row>
    <row r="101" spans="1:6" ht="14.25">
      <c r="A101" s="2945">
        <v>100</v>
      </c>
      <c r="B101" s="2945" t="s">
        <v>3060</v>
      </c>
      <c r="C101" s="2945" t="s">
        <v>3052</v>
      </c>
      <c r="D101" s="2945">
        <v>501</v>
      </c>
      <c r="E101" s="2946">
        <v>212.71</v>
      </c>
      <c r="F101" s="2952" t="s">
        <v>3048</v>
      </c>
    </row>
    <row r="102" spans="1:6" ht="14.25">
      <c r="A102" s="2945">
        <v>101</v>
      </c>
      <c r="B102" s="2945" t="s">
        <v>3060</v>
      </c>
      <c r="C102" s="2945" t="s">
        <v>3052</v>
      </c>
      <c r="D102" s="2945">
        <v>502</v>
      </c>
      <c r="E102" s="2946">
        <v>213.7</v>
      </c>
      <c r="F102" s="2952" t="s">
        <v>3048</v>
      </c>
    </row>
    <row r="103" spans="1:6" ht="14.25">
      <c r="A103" s="2945">
        <v>102</v>
      </c>
      <c r="B103" s="2945" t="s">
        <v>3060</v>
      </c>
      <c r="C103" s="2945" t="s">
        <v>3052</v>
      </c>
      <c r="D103" s="2945">
        <v>601</v>
      </c>
      <c r="E103" s="2946">
        <v>212.71</v>
      </c>
      <c r="F103" s="2952" t="s">
        <v>3048</v>
      </c>
    </row>
    <row r="104" spans="1:6" ht="14.25">
      <c r="A104" s="2945">
        <v>103</v>
      </c>
      <c r="B104" s="2945" t="s">
        <v>3060</v>
      </c>
      <c r="C104" s="2945" t="s">
        <v>3052</v>
      </c>
      <c r="D104" s="2945">
        <v>602</v>
      </c>
      <c r="E104" s="2946">
        <v>213.7</v>
      </c>
      <c r="F104" s="2952" t="s">
        <v>3048</v>
      </c>
    </row>
    <row r="105" spans="1:6" ht="14.25">
      <c r="A105" s="2945">
        <v>104</v>
      </c>
      <c r="B105" s="2945" t="s">
        <v>3060</v>
      </c>
      <c r="C105" s="2945" t="s">
        <v>3052</v>
      </c>
      <c r="D105" s="2945">
        <v>701</v>
      </c>
      <c r="E105" s="2946">
        <v>208.51</v>
      </c>
      <c r="F105" s="2952" t="s">
        <v>3048</v>
      </c>
    </row>
    <row r="106" spans="1:6" ht="14.25">
      <c r="A106" s="2945">
        <v>105</v>
      </c>
      <c r="B106" s="2945" t="s">
        <v>3060</v>
      </c>
      <c r="C106" s="2945" t="s">
        <v>3052</v>
      </c>
      <c r="D106" s="2945">
        <v>702</v>
      </c>
      <c r="E106" s="2946">
        <v>208.51</v>
      </c>
      <c r="F106" s="2952" t="s">
        <v>3048</v>
      </c>
    </row>
    <row r="107" spans="1:6" ht="14.25">
      <c r="A107" s="2945">
        <v>106</v>
      </c>
      <c r="B107" s="2945" t="s">
        <v>3060</v>
      </c>
      <c r="C107" s="2945" t="s">
        <v>3061</v>
      </c>
      <c r="D107" s="2945">
        <v>102</v>
      </c>
      <c r="E107" s="2946">
        <v>547.88</v>
      </c>
      <c r="F107" s="2952" t="s">
        <v>3048</v>
      </c>
    </row>
    <row r="108" spans="1:6" ht="14.25">
      <c r="A108" s="2945">
        <v>107</v>
      </c>
      <c r="B108" s="2945" t="s">
        <v>3060</v>
      </c>
      <c r="C108" s="2945" t="s">
        <v>3061</v>
      </c>
      <c r="D108" s="2945">
        <v>201</v>
      </c>
      <c r="E108" s="2946">
        <v>264.36</v>
      </c>
      <c r="F108" s="2952" t="s">
        <v>3048</v>
      </c>
    </row>
    <row r="109" spans="1:6" ht="14.25">
      <c r="A109" s="2945">
        <v>108</v>
      </c>
      <c r="B109" s="2945" t="s">
        <v>3060</v>
      </c>
      <c r="C109" s="2945" t="s">
        <v>3053</v>
      </c>
      <c r="D109" s="2945">
        <v>301</v>
      </c>
      <c r="E109" s="2946">
        <v>270.7</v>
      </c>
      <c r="F109" s="2952" t="s">
        <v>3048</v>
      </c>
    </row>
    <row r="110" spans="1:6" ht="14.25">
      <c r="A110" s="2945">
        <v>109</v>
      </c>
      <c r="B110" s="2945" t="s">
        <v>3060</v>
      </c>
      <c r="C110" s="2945" t="s">
        <v>3053</v>
      </c>
      <c r="D110" s="2945">
        <v>302</v>
      </c>
      <c r="E110" s="2946">
        <v>331.65</v>
      </c>
      <c r="F110" s="2952" t="s">
        <v>3048</v>
      </c>
    </row>
    <row r="111" spans="1:6" ht="14.25">
      <c r="A111" s="2945">
        <v>110</v>
      </c>
      <c r="B111" s="2945" t="s">
        <v>3060</v>
      </c>
      <c r="C111" s="2945" t="s">
        <v>3062</v>
      </c>
      <c r="D111" s="2945">
        <v>601</v>
      </c>
      <c r="E111" s="2946">
        <v>270.7</v>
      </c>
      <c r="F111" s="2952" t="s">
        <v>3048</v>
      </c>
    </row>
    <row r="112" spans="1:6" ht="14.25">
      <c r="A112" s="2945">
        <v>111</v>
      </c>
      <c r="B112" s="2945" t="s">
        <v>3060</v>
      </c>
      <c r="C112" s="2945" t="s">
        <v>3053</v>
      </c>
      <c r="D112" s="2945">
        <v>701</v>
      </c>
      <c r="E112" s="2946">
        <v>263.08999999999997</v>
      </c>
      <c r="F112" s="2952" t="s">
        <v>3048</v>
      </c>
    </row>
    <row r="113" spans="1:7" ht="14.25">
      <c r="A113" s="2945">
        <v>112</v>
      </c>
      <c r="B113" s="2953" t="s">
        <v>3060</v>
      </c>
      <c r="C113" s="2953" t="s">
        <v>3053</v>
      </c>
      <c r="D113" s="2953">
        <v>702</v>
      </c>
      <c r="E113" s="2954">
        <v>308.75</v>
      </c>
      <c r="F113" s="2952" t="s">
        <v>3048</v>
      </c>
      <c r="G113" s="2950">
        <f>SUM(E91:E113)</f>
        <v>6571.0399999999991</v>
      </c>
    </row>
    <row r="114" spans="1:7" ht="14.25">
      <c r="A114" s="2945">
        <v>113</v>
      </c>
      <c r="B114" s="2945" t="s">
        <v>3063</v>
      </c>
      <c r="C114" s="2945" t="s">
        <v>70</v>
      </c>
      <c r="D114" s="2945">
        <v>101</v>
      </c>
      <c r="E114" s="2946">
        <v>445.05</v>
      </c>
      <c r="F114" s="2952" t="s">
        <v>3048</v>
      </c>
    </row>
    <row r="115" spans="1:7" ht="14.25">
      <c r="A115" s="2945">
        <v>114</v>
      </c>
      <c r="B115" s="2945" t="s">
        <v>3063</v>
      </c>
      <c r="C115" s="2945" t="s">
        <v>70</v>
      </c>
      <c r="D115" s="2945">
        <v>102</v>
      </c>
      <c r="E115" s="2946">
        <v>465.5</v>
      </c>
      <c r="F115" s="2952" t="s">
        <v>3048</v>
      </c>
    </row>
    <row r="116" spans="1:7" ht="14.25">
      <c r="A116" s="2945">
        <v>115</v>
      </c>
      <c r="B116" s="2945" t="s">
        <v>3063</v>
      </c>
      <c r="C116" s="2945" t="s">
        <v>70</v>
      </c>
      <c r="D116" s="2945">
        <v>202</v>
      </c>
      <c r="E116" s="2946">
        <v>267.02</v>
      </c>
      <c r="F116" s="2952" t="s">
        <v>3048</v>
      </c>
    </row>
    <row r="117" spans="1:7" ht="14.25">
      <c r="A117" s="2945">
        <v>116</v>
      </c>
      <c r="B117" s="2945" t="s">
        <v>3063</v>
      </c>
      <c r="C117" s="2945" t="s">
        <v>70</v>
      </c>
      <c r="D117" s="2945">
        <v>402</v>
      </c>
      <c r="E117" s="2946">
        <v>274.89999999999998</v>
      </c>
      <c r="F117" s="2952" t="s">
        <v>3048</v>
      </c>
    </row>
    <row r="118" spans="1:7" ht="14.25">
      <c r="A118" s="2945">
        <v>117</v>
      </c>
      <c r="B118" s="2945" t="s">
        <v>3063</v>
      </c>
      <c r="C118" s="2945" t="s">
        <v>70</v>
      </c>
      <c r="D118" s="2945">
        <v>501</v>
      </c>
      <c r="E118" s="2946">
        <v>275.31</v>
      </c>
      <c r="F118" s="2952" t="s">
        <v>3048</v>
      </c>
    </row>
    <row r="119" spans="1:7" ht="14.25">
      <c r="A119" s="2945">
        <v>118</v>
      </c>
      <c r="B119" s="2945" t="s">
        <v>3063</v>
      </c>
      <c r="C119" s="2945" t="s">
        <v>3046</v>
      </c>
      <c r="D119" s="2945">
        <v>602</v>
      </c>
      <c r="E119" s="2946">
        <v>272.58999999999997</v>
      </c>
      <c r="F119" s="2952" t="s">
        <v>3048</v>
      </c>
    </row>
    <row r="120" spans="1:7" ht="14.25">
      <c r="A120" s="2945">
        <v>119</v>
      </c>
      <c r="B120" s="2953" t="s">
        <v>3063</v>
      </c>
      <c r="C120" s="2953" t="s">
        <v>3046</v>
      </c>
      <c r="D120" s="2953">
        <v>702</v>
      </c>
      <c r="E120" s="2954">
        <v>252.61</v>
      </c>
      <c r="F120" s="2952" t="s">
        <v>3048</v>
      </c>
      <c r="G120" s="2950">
        <f>SUM(E114:E120)</f>
        <v>2252.9799999999996</v>
      </c>
    </row>
    <row r="121" spans="1:7" ht="14.25">
      <c r="A121" s="2945">
        <v>120</v>
      </c>
      <c r="B121" s="2945" t="s">
        <v>3064</v>
      </c>
      <c r="C121" s="2945" t="s">
        <v>70</v>
      </c>
      <c r="D121" s="2945">
        <v>301</v>
      </c>
      <c r="E121" s="2946">
        <v>280.16000000000003</v>
      </c>
      <c r="F121" s="2952" t="s">
        <v>3048</v>
      </c>
    </row>
    <row r="122" spans="1:7" ht="14.25">
      <c r="A122" s="2945">
        <v>121</v>
      </c>
      <c r="B122" s="2945" t="s">
        <v>3064</v>
      </c>
      <c r="C122" s="2945" t="s">
        <v>70</v>
      </c>
      <c r="D122" s="2945">
        <v>302</v>
      </c>
      <c r="E122" s="2946">
        <v>280.55</v>
      </c>
      <c r="F122" s="2952" t="s">
        <v>3048</v>
      </c>
    </row>
    <row r="123" spans="1:7" ht="14.25">
      <c r="A123" s="2945">
        <v>122</v>
      </c>
      <c r="B123" s="2953" t="s">
        <v>3064</v>
      </c>
      <c r="C123" s="2953" t="s">
        <v>70</v>
      </c>
      <c r="D123" s="2953">
        <v>401</v>
      </c>
      <c r="E123" s="2954">
        <v>277.81</v>
      </c>
      <c r="F123" s="2952" t="s">
        <v>3048</v>
      </c>
      <c r="G123" s="2950">
        <f>SUM(E121:E123)</f>
        <v>838.52</v>
      </c>
    </row>
    <row r="124" spans="1:7" ht="14.25">
      <c r="A124" s="2945">
        <v>123</v>
      </c>
      <c r="B124" s="2945" t="s">
        <v>3065</v>
      </c>
      <c r="C124" s="2945" t="s">
        <v>70</v>
      </c>
      <c r="D124" s="2945" t="s">
        <v>3045</v>
      </c>
      <c r="E124" s="2946">
        <v>728.72</v>
      </c>
      <c r="F124" s="2952" t="s">
        <v>3048</v>
      </c>
    </row>
    <row r="125" spans="1:7" ht="14.25">
      <c r="A125" s="2945">
        <v>124</v>
      </c>
      <c r="B125" s="2945" t="s">
        <v>3065</v>
      </c>
      <c r="C125" s="2945" t="s">
        <v>70</v>
      </c>
      <c r="D125" s="2945">
        <v>201</v>
      </c>
      <c r="E125" s="2946">
        <v>463.58</v>
      </c>
      <c r="F125" s="2952" t="s">
        <v>3048</v>
      </c>
    </row>
    <row r="126" spans="1:7" ht="14.25">
      <c r="A126" s="2945">
        <v>125</v>
      </c>
      <c r="B126" s="2945" t="s">
        <v>3065</v>
      </c>
      <c r="C126" s="2945" t="s">
        <v>70</v>
      </c>
      <c r="D126" s="2945">
        <v>301</v>
      </c>
      <c r="E126" s="2946">
        <v>472.51</v>
      </c>
      <c r="F126" s="2952" t="s">
        <v>3048</v>
      </c>
    </row>
    <row r="127" spans="1:7" ht="14.25">
      <c r="A127" s="2945">
        <v>126</v>
      </c>
      <c r="B127" s="2945" t="s">
        <v>3065</v>
      </c>
      <c r="C127" s="2945" t="s">
        <v>70</v>
      </c>
      <c r="D127" s="2945">
        <v>401</v>
      </c>
      <c r="E127" s="2946">
        <v>472.51</v>
      </c>
      <c r="F127" s="2952" t="s">
        <v>3048</v>
      </c>
    </row>
    <row r="128" spans="1:7" ht="14.25">
      <c r="A128" s="2945">
        <v>127</v>
      </c>
      <c r="B128" s="2945" t="s">
        <v>3065</v>
      </c>
      <c r="C128" s="2945" t="s">
        <v>70</v>
      </c>
      <c r="D128" s="2945">
        <v>501</v>
      </c>
      <c r="E128" s="2946">
        <v>449.53</v>
      </c>
      <c r="F128" s="2952" t="s">
        <v>3048</v>
      </c>
      <c r="G128" s="2950">
        <f>SUM(E124:E128)</f>
        <v>2586.8499999999995</v>
      </c>
    </row>
    <row r="129" spans="1:7" ht="14.25">
      <c r="A129" s="2945">
        <v>128</v>
      </c>
      <c r="B129" s="2945" t="s">
        <v>3066</v>
      </c>
      <c r="C129" s="2945" t="s">
        <v>70</v>
      </c>
      <c r="D129" s="2945">
        <v>103</v>
      </c>
      <c r="E129" s="2946">
        <v>666.14</v>
      </c>
      <c r="F129" s="2952" t="s">
        <v>3048</v>
      </c>
    </row>
    <row r="130" spans="1:7" ht="14.25">
      <c r="A130" s="2945">
        <v>129</v>
      </c>
      <c r="B130" s="2945" t="s">
        <v>3066</v>
      </c>
      <c r="C130" s="2945" t="s">
        <v>70</v>
      </c>
      <c r="D130" s="2945">
        <v>202</v>
      </c>
      <c r="E130" s="2946">
        <v>311.29000000000002</v>
      </c>
      <c r="F130" s="2952" t="s">
        <v>3048</v>
      </c>
    </row>
    <row r="131" spans="1:7" ht="14.25">
      <c r="A131" s="2945">
        <v>130</v>
      </c>
      <c r="B131" s="2945" t="s">
        <v>3066</v>
      </c>
      <c r="C131" s="2945" t="s">
        <v>70</v>
      </c>
      <c r="D131" s="2945">
        <v>301</v>
      </c>
      <c r="E131" s="2946">
        <v>320.35000000000002</v>
      </c>
      <c r="F131" s="2952" t="s">
        <v>3048</v>
      </c>
    </row>
    <row r="132" spans="1:7" ht="14.25">
      <c r="A132" s="2945">
        <v>131</v>
      </c>
      <c r="B132" s="2945" t="s">
        <v>3066</v>
      </c>
      <c r="C132" s="2945" t="s">
        <v>70</v>
      </c>
      <c r="D132" s="2945">
        <v>402</v>
      </c>
      <c r="E132" s="2946">
        <v>320.35000000000002</v>
      </c>
      <c r="F132" s="2952" t="s">
        <v>3048</v>
      </c>
    </row>
    <row r="133" spans="1:7" ht="14.25">
      <c r="A133" s="2945">
        <v>132</v>
      </c>
      <c r="B133" s="2945" t="s">
        <v>3066</v>
      </c>
      <c r="C133" s="2945" t="s">
        <v>3046</v>
      </c>
      <c r="D133" s="2945">
        <v>502</v>
      </c>
      <c r="E133" s="2946">
        <v>320.35000000000002</v>
      </c>
      <c r="F133" s="2952" t="s">
        <v>3048</v>
      </c>
    </row>
    <row r="134" spans="1:7" ht="14.25">
      <c r="A134" s="2945">
        <v>133</v>
      </c>
      <c r="B134" s="2945" t="s">
        <v>3066</v>
      </c>
      <c r="C134" s="2945" t="s">
        <v>3046</v>
      </c>
      <c r="D134" s="2945">
        <v>701</v>
      </c>
      <c r="E134" s="2946">
        <v>296.08</v>
      </c>
      <c r="F134" s="2952" t="s">
        <v>3048</v>
      </c>
      <c r="G134" s="2950">
        <f>SUM(E129:E134)</f>
        <v>2234.56</v>
      </c>
    </row>
    <row r="135" spans="1:7" ht="14.25">
      <c r="A135" s="2945">
        <v>134</v>
      </c>
      <c r="B135" s="2945" t="s">
        <v>3067</v>
      </c>
      <c r="C135" s="2945" t="s">
        <v>70</v>
      </c>
      <c r="D135" s="2945">
        <v>101</v>
      </c>
      <c r="E135" s="2946">
        <v>675.08</v>
      </c>
      <c r="F135" s="2952" t="s">
        <v>3048</v>
      </c>
    </row>
    <row r="136" spans="1:7" ht="14.25">
      <c r="A136" s="2945">
        <v>135</v>
      </c>
      <c r="B136" s="2945" t="s">
        <v>3067</v>
      </c>
      <c r="C136" s="2945" t="s">
        <v>70</v>
      </c>
      <c r="D136" s="2945">
        <v>401</v>
      </c>
      <c r="E136" s="2946">
        <v>323.47000000000003</v>
      </c>
      <c r="F136" s="2952" t="s">
        <v>3048</v>
      </c>
    </row>
    <row r="137" spans="1:7" ht="14.25">
      <c r="A137" s="2945">
        <v>136</v>
      </c>
      <c r="B137" s="2945" t="s">
        <v>3067</v>
      </c>
      <c r="C137" s="2945" t="s">
        <v>70</v>
      </c>
      <c r="D137" s="2945">
        <v>402</v>
      </c>
      <c r="E137" s="2946">
        <v>323.47000000000003</v>
      </c>
      <c r="F137" s="2952" t="s">
        <v>3048</v>
      </c>
    </row>
    <row r="138" spans="1:7" ht="14.25">
      <c r="A138" s="2945">
        <v>137</v>
      </c>
      <c r="B138" s="2945" t="s">
        <v>3067</v>
      </c>
      <c r="C138" s="2945" t="s">
        <v>70</v>
      </c>
      <c r="D138" s="2945">
        <v>501</v>
      </c>
      <c r="E138" s="2946">
        <v>323.47000000000003</v>
      </c>
      <c r="F138" s="2952" t="s">
        <v>3048</v>
      </c>
    </row>
    <row r="139" spans="1:7" ht="14.25">
      <c r="A139" s="2945">
        <v>138</v>
      </c>
      <c r="B139" s="2945" t="s">
        <v>3067</v>
      </c>
      <c r="C139" s="2945" t="s">
        <v>3046</v>
      </c>
      <c r="D139" s="2945">
        <v>601</v>
      </c>
      <c r="E139" s="2946">
        <v>321.08</v>
      </c>
      <c r="F139" s="2952" t="s">
        <v>3048</v>
      </c>
    </row>
    <row r="140" spans="1:7" ht="14.25">
      <c r="A140" s="2945">
        <v>139</v>
      </c>
      <c r="B140" s="2945" t="s">
        <v>3067</v>
      </c>
      <c r="C140" s="2945" t="s">
        <v>3046</v>
      </c>
      <c r="D140" s="2945">
        <v>602</v>
      </c>
      <c r="E140" s="2946">
        <v>321.08</v>
      </c>
      <c r="F140" s="2952" t="s">
        <v>3048</v>
      </c>
    </row>
    <row r="141" spans="1:7" ht="14.25">
      <c r="A141" s="2945">
        <v>140</v>
      </c>
      <c r="B141" s="2945" t="s">
        <v>3067</v>
      </c>
      <c r="C141" s="2945" t="s">
        <v>3046</v>
      </c>
      <c r="D141" s="2945">
        <v>701</v>
      </c>
      <c r="E141" s="2946">
        <v>298.95999999999998</v>
      </c>
      <c r="F141" s="2952" t="s">
        <v>3048</v>
      </c>
      <c r="G141" s="2950">
        <f>SUM(E135:E141)</f>
        <v>2586.61</v>
      </c>
    </row>
    <row r="142" spans="1:7" ht="14.25">
      <c r="A142" s="2945">
        <v>141</v>
      </c>
      <c r="B142" s="2945" t="s">
        <v>3068</v>
      </c>
      <c r="C142" s="2945" t="s">
        <v>70</v>
      </c>
      <c r="D142" s="2945" t="s">
        <v>3045</v>
      </c>
      <c r="E142" s="2946">
        <v>467.22</v>
      </c>
      <c r="F142" s="2952" t="s">
        <v>3048</v>
      </c>
    </row>
    <row r="143" spans="1:7" ht="14.25">
      <c r="A143" s="2945">
        <v>142</v>
      </c>
      <c r="B143" s="2945" t="s">
        <v>3068</v>
      </c>
      <c r="C143" s="2945" t="s">
        <v>70</v>
      </c>
      <c r="D143" s="2945">
        <v>102</v>
      </c>
      <c r="E143" s="2946">
        <v>446.94</v>
      </c>
      <c r="F143" s="2952" t="s">
        <v>3048</v>
      </c>
    </row>
    <row r="144" spans="1:7" ht="14.25">
      <c r="A144" s="2945">
        <v>143</v>
      </c>
      <c r="B144" s="2945" t="s">
        <v>3068</v>
      </c>
      <c r="C144" s="2945" t="s">
        <v>70</v>
      </c>
      <c r="D144" s="2945">
        <v>301</v>
      </c>
      <c r="E144" s="2946">
        <v>276.52999999999997</v>
      </c>
      <c r="F144" s="2952" t="s">
        <v>3048</v>
      </c>
    </row>
    <row r="145" spans="1:7" ht="14.25">
      <c r="A145" s="2945">
        <v>144</v>
      </c>
      <c r="B145" s="2945" t="s">
        <v>3068</v>
      </c>
      <c r="C145" s="2945" t="s">
        <v>70</v>
      </c>
      <c r="D145" s="2945">
        <v>302</v>
      </c>
      <c r="E145" s="2946">
        <v>276.52999999999997</v>
      </c>
      <c r="F145" s="2952" t="s">
        <v>3048</v>
      </c>
    </row>
    <row r="146" spans="1:7" ht="14.25">
      <c r="A146" s="2945">
        <v>145</v>
      </c>
      <c r="B146" s="2945" t="s">
        <v>3068</v>
      </c>
      <c r="C146" s="2945" t="s">
        <v>70</v>
      </c>
      <c r="D146" s="2945">
        <v>401</v>
      </c>
      <c r="E146" s="2946">
        <v>276.52999999999997</v>
      </c>
      <c r="F146" s="2952" t="s">
        <v>3048</v>
      </c>
    </row>
    <row r="147" spans="1:7" ht="14.25">
      <c r="A147" s="2945">
        <v>146</v>
      </c>
      <c r="B147" s="2945" t="s">
        <v>3068</v>
      </c>
      <c r="C147" s="2945" t="s">
        <v>70</v>
      </c>
      <c r="D147" s="2945">
        <v>402</v>
      </c>
      <c r="E147" s="2946">
        <v>276.52999999999997</v>
      </c>
      <c r="F147" s="2952" t="s">
        <v>3048</v>
      </c>
    </row>
    <row r="148" spans="1:7" ht="14.25">
      <c r="A148" s="2945">
        <v>147</v>
      </c>
      <c r="B148" s="2945" t="s">
        <v>3068</v>
      </c>
      <c r="C148" s="2945" t="s">
        <v>70</v>
      </c>
      <c r="D148" s="2945">
        <v>501</v>
      </c>
      <c r="E148" s="2946">
        <v>274.02</v>
      </c>
      <c r="F148" s="2952" t="s">
        <v>3048</v>
      </c>
      <c r="G148" s="2950">
        <f>SUM(E142:E148)</f>
        <v>2294.3000000000002</v>
      </c>
    </row>
    <row r="149" spans="1:7" ht="14.25">
      <c r="A149" s="2953"/>
      <c r="B149" s="2958"/>
      <c r="C149" s="2958"/>
      <c r="D149" s="2958"/>
      <c r="E149" s="2959">
        <f>SUM(E2:E148)</f>
        <v>44831.790000000008</v>
      </c>
      <c r="F149" s="2960"/>
      <c r="G149" s="2950"/>
    </row>
    <row r="150" spans="1:7" ht="14.25">
      <c r="A150" s="2945">
        <v>148</v>
      </c>
      <c r="B150" s="2947" t="s">
        <v>3070</v>
      </c>
      <c r="C150" s="2945" t="s">
        <v>70</v>
      </c>
      <c r="D150" s="2945" t="s">
        <v>3071</v>
      </c>
      <c r="E150" s="2945">
        <v>58.46</v>
      </c>
      <c r="F150" s="2947" t="s">
        <v>3132</v>
      </c>
    </row>
    <row r="151" spans="1:7" ht="14.25">
      <c r="A151" s="2945">
        <v>149</v>
      </c>
      <c r="B151" s="2947" t="s">
        <v>3070</v>
      </c>
      <c r="C151" s="2945" t="s">
        <v>70</v>
      </c>
      <c r="D151" s="2945" t="s">
        <v>3072</v>
      </c>
      <c r="E151" s="2945">
        <v>58.46</v>
      </c>
      <c r="F151" s="2947" t="s">
        <v>3132</v>
      </c>
    </row>
    <row r="152" spans="1:7" ht="14.25">
      <c r="A152" s="2945">
        <v>150</v>
      </c>
      <c r="B152" s="2947" t="s">
        <v>3070</v>
      </c>
      <c r="C152" s="2945" t="s">
        <v>70</v>
      </c>
      <c r="D152" s="2945" t="s">
        <v>3073</v>
      </c>
      <c r="E152" s="2945">
        <v>68.209999999999994</v>
      </c>
      <c r="F152" s="2947" t="s">
        <v>3132</v>
      </c>
    </row>
    <row r="153" spans="1:7" ht="14.25">
      <c r="A153" s="2945">
        <v>151</v>
      </c>
      <c r="B153" s="2947" t="s">
        <v>3070</v>
      </c>
      <c r="C153" s="2945" t="s">
        <v>70</v>
      </c>
      <c r="D153" s="2945" t="s">
        <v>3074</v>
      </c>
      <c r="E153" s="2945">
        <v>68.209999999999994</v>
      </c>
      <c r="F153" s="2947" t="s">
        <v>3132</v>
      </c>
    </row>
    <row r="154" spans="1:7" ht="14.25">
      <c r="A154" s="2945">
        <v>152</v>
      </c>
      <c r="B154" s="2947" t="s">
        <v>3070</v>
      </c>
      <c r="C154" s="2945" t="s">
        <v>70</v>
      </c>
      <c r="D154" s="2945" t="s">
        <v>3075</v>
      </c>
      <c r="E154" s="2945">
        <v>68.209999999999994</v>
      </c>
      <c r="F154" s="2947" t="s">
        <v>3132</v>
      </c>
    </row>
    <row r="155" spans="1:7" ht="14.25">
      <c r="A155" s="2945">
        <v>153</v>
      </c>
      <c r="B155" s="2947" t="s">
        <v>3070</v>
      </c>
      <c r="C155" s="2945" t="s">
        <v>70</v>
      </c>
      <c r="D155" s="2945" t="s">
        <v>3076</v>
      </c>
      <c r="E155" s="2945">
        <v>68.209999999999994</v>
      </c>
      <c r="F155" s="2947" t="s">
        <v>3132</v>
      </c>
    </row>
    <row r="156" spans="1:7" ht="14.25">
      <c r="A156" s="2945">
        <v>154</v>
      </c>
      <c r="B156" s="2947" t="s">
        <v>3070</v>
      </c>
      <c r="C156" s="2945" t="s">
        <v>70</v>
      </c>
      <c r="D156" s="2945" t="s">
        <v>3077</v>
      </c>
      <c r="E156" s="2945">
        <v>68.209999999999994</v>
      </c>
      <c r="F156" s="2947" t="s">
        <v>3132</v>
      </c>
    </row>
    <row r="157" spans="1:7" ht="14.25">
      <c r="A157" s="2945">
        <v>155</v>
      </c>
      <c r="B157" s="2947" t="s">
        <v>3070</v>
      </c>
      <c r="C157" s="2945" t="s">
        <v>70</v>
      </c>
      <c r="D157" s="2945" t="s">
        <v>3078</v>
      </c>
      <c r="E157" s="2945">
        <v>137.63</v>
      </c>
      <c r="F157" s="2947" t="s">
        <v>3132</v>
      </c>
    </row>
    <row r="158" spans="1:7" ht="14.25">
      <c r="A158" s="2945">
        <v>156</v>
      </c>
      <c r="B158" s="2947" t="s">
        <v>3070</v>
      </c>
      <c r="C158" s="2945" t="s">
        <v>70</v>
      </c>
      <c r="D158" s="2945" t="s">
        <v>3079</v>
      </c>
      <c r="E158" s="2945">
        <v>68.209999999999994</v>
      </c>
      <c r="F158" s="2947" t="s">
        <v>3132</v>
      </c>
    </row>
    <row r="159" spans="1:7" ht="14.25">
      <c r="A159" s="2945">
        <v>157</v>
      </c>
      <c r="B159" s="2947" t="s">
        <v>3070</v>
      </c>
      <c r="C159" s="2945" t="s">
        <v>70</v>
      </c>
      <c r="D159" s="2945" t="s">
        <v>3080</v>
      </c>
      <c r="E159" s="2945">
        <v>68.209999999999994</v>
      </c>
      <c r="F159" s="2947" t="s">
        <v>3132</v>
      </c>
    </row>
    <row r="160" spans="1:7" ht="14.25">
      <c r="A160" s="2945">
        <v>158</v>
      </c>
      <c r="B160" s="2947" t="s">
        <v>3070</v>
      </c>
      <c r="C160" s="2945" t="s">
        <v>70</v>
      </c>
      <c r="D160" s="2945" t="s">
        <v>3081</v>
      </c>
      <c r="E160" s="2945">
        <v>68.209999999999994</v>
      </c>
      <c r="F160" s="2947" t="s">
        <v>3132</v>
      </c>
    </row>
    <row r="161" spans="1:6" ht="14.25">
      <c r="A161" s="2945">
        <v>159</v>
      </c>
      <c r="B161" s="2947" t="s">
        <v>3070</v>
      </c>
      <c r="C161" s="2945" t="s">
        <v>70</v>
      </c>
      <c r="D161" s="2945" t="s">
        <v>3082</v>
      </c>
      <c r="E161" s="2945">
        <v>137.63</v>
      </c>
      <c r="F161" s="2947" t="s">
        <v>3132</v>
      </c>
    </row>
    <row r="162" spans="1:6" ht="14.25">
      <c r="A162" s="2945">
        <v>160</v>
      </c>
      <c r="B162" s="2947" t="s">
        <v>3070</v>
      </c>
      <c r="C162" s="2945" t="s">
        <v>70</v>
      </c>
      <c r="D162" s="2945" t="s">
        <v>3083</v>
      </c>
      <c r="E162" s="2945">
        <v>68.209999999999994</v>
      </c>
      <c r="F162" s="2947" t="s">
        <v>3132</v>
      </c>
    </row>
    <row r="163" spans="1:6" ht="14.25">
      <c r="A163" s="2945">
        <v>161</v>
      </c>
      <c r="B163" s="2947" t="s">
        <v>3070</v>
      </c>
      <c r="C163" s="2945" t="s">
        <v>70</v>
      </c>
      <c r="D163" s="2945" t="s">
        <v>3084</v>
      </c>
      <c r="E163" s="2945">
        <v>68.209999999999994</v>
      </c>
      <c r="F163" s="2947" t="s">
        <v>3132</v>
      </c>
    </row>
    <row r="164" spans="1:6" ht="14.25">
      <c r="A164" s="2945">
        <v>162</v>
      </c>
      <c r="B164" s="2947" t="s">
        <v>3070</v>
      </c>
      <c r="C164" s="2945" t="s">
        <v>70</v>
      </c>
      <c r="D164" s="2945" t="s">
        <v>3085</v>
      </c>
      <c r="E164" s="2945">
        <v>68.209999999999994</v>
      </c>
      <c r="F164" s="2947" t="s">
        <v>3132</v>
      </c>
    </row>
    <row r="165" spans="1:6" ht="14.25">
      <c r="A165" s="2945">
        <v>163</v>
      </c>
      <c r="B165" s="2947" t="s">
        <v>3070</v>
      </c>
      <c r="C165" s="2945" t="s">
        <v>70</v>
      </c>
      <c r="D165" s="2945" t="s">
        <v>3086</v>
      </c>
      <c r="E165" s="2945">
        <v>68.209999999999994</v>
      </c>
      <c r="F165" s="2947" t="s">
        <v>3132</v>
      </c>
    </row>
    <row r="166" spans="1:6" ht="14.25">
      <c r="A166" s="2945">
        <v>164</v>
      </c>
      <c r="B166" s="2947" t="s">
        <v>3070</v>
      </c>
      <c r="C166" s="2945" t="s">
        <v>70</v>
      </c>
      <c r="D166" s="2945" t="s">
        <v>3087</v>
      </c>
      <c r="E166" s="2945">
        <v>68.209999999999994</v>
      </c>
      <c r="F166" s="2947" t="s">
        <v>3132</v>
      </c>
    </row>
    <row r="167" spans="1:6" ht="14.25">
      <c r="A167" s="2945">
        <v>165</v>
      </c>
      <c r="B167" s="2947" t="s">
        <v>3070</v>
      </c>
      <c r="C167" s="2945" t="s">
        <v>70</v>
      </c>
      <c r="D167" s="2945" t="s">
        <v>3088</v>
      </c>
      <c r="E167" s="2945">
        <v>68.209999999999994</v>
      </c>
      <c r="F167" s="2947" t="s">
        <v>3132</v>
      </c>
    </row>
    <row r="168" spans="1:6" ht="14.25">
      <c r="A168" s="2945">
        <v>166</v>
      </c>
      <c r="B168" s="2947" t="s">
        <v>3070</v>
      </c>
      <c r="C168" s="2945" t="s">
        <v>70</v>
      </c>
      <c r="D168" s="2945" t="s">
        <v>3089</v>
      </c>
      <c r="E168" s="2945">
        <v>68.209999999999994</v>
      </c>
      <c r="F168" s="2947" t="s">
        <v>3132</v>
      </c>
    </row>
    <row r="169" spans="1:6" ht="14.25">
      <c r="A169" s="2945">
        <v>167</v>
      </c>
      <c r="B169" s="2947" t="s">
        <v>3070</v>
      </c>
      <c r="C169" s="2945" t="s">
        <v>70</v>
      </c>
      <c r="D169" s="2945" t="s">
        <v>3090</v>
      </c>
      <c r="E169" s="2945">
        <v>68.209999999999994</v>
      </c>
      <c r="F169" s="2947" t="s">
        <v>3132</v>
      </c>
    </row>
    <row r="170" spans="1:6" ht="14.25">
      <c r="A170" s="2945">
        <v>168</v>
      </c>
      <c r="B170" s="2947" t="s">
        <v>3070</v>
      </c>
      <c r="C170" s="2945" t="s">
        <v>70</v>
      </c>
      <c r="D170" s="2945" t="s">
        <v>3091</v>
      </c>
      <c r="E170" s="2945">
        <v>68.209999999999994</v>
      </c>
      <c r="F170" s="2947" t="s">
        <v>3132</v>
      </c>
    </row>
    <row r="171" spans="1:6" ht="14.25">
      <c r="A171" s="2945">
        <v>169</v>
      </c>
      <c r="B171" s="2947" t="s">
        <v>3070</v>
      </c>
      <c r="C171" s="2945" t="s">
        <v>70</v>
      </c>
      <c r="D171" s="2945" t="s">
        <v>3092</v>
      </c>
      <c r="E171" s="2945">
        <v>68.209999999999994</v>
      </c>
      <c r="F171" s="2947" t="s">
        <v>3132</v>
      </c>
    </row>
    <row r="172" spans="1:6" ht="14.25">
      <c r="A172" s="2945">
        <v>170</v>
      </c>
      <c r="B172" s="2947" t="s">
        <v>3070</v>
      </c>
      <c r="C172" s="2945" t="s">
        <v>70</v>
      </c>
      <c r="D172" s="2945" t="s">
        <v>3093</v>
      </c>
      <c r="E172" s="2945">
        <v>68.209999999999994</v>
      </c>
      <c r="F172" s="2947" t="s">
        <v>3132</v>
      </c>
    </row>
    <row r="173" spans="1:6" ht="14.25">
      <c r="A173" s="2945">
        <v>171</v>
      </c>
      <c r="B173" s="2947" t="s">
        <v>3070</v>
      </c>
      <c r="C173" s="2945" t="s">
        <v>70</v>
      </c>
      <c r="D173" s="2945" t="s">
        <v>3094</v>
      </c>
      <c r="E173" s="2945">
        <v>68.209999999999994</v>
      </c>
      <c r="F173" s="2947" t="s">
        <v>3132</v>
      </c>
    </row>
    <row r="174" spans="1:6" ht="14.25">
      <c r="A174" s="2945">
        <v>172</v>
      </c>
      <c r="B174" s="2947" t="s">
        <v>3070</v>
      </c>
      <c r="C174" s="2945" t="s">
        <v>70</v>
      </c>
      <c r="D174" s="2945" t="s">
        <v>3095</v>
      </c>
      <c r="E174" s="2945">
        <v>58.46</v>
      </c>
      <c r="F174" s="2947" t="s">
        <v>3132</v>
      </c>
    </row>
    <row r="175" spans="1:6" ht="14.25">
      <c r="A175" s="2945">
        <v>173</v>
      </c>
      <c r="B175" s="2947" t="s">
        <v>3070</v>
      </c>
      <c r="C175" s="2945" t="s">
        <v>70</v>
      </c>
      <c r="D175" s="2945" t="s">
        <v>3096</v>
      </c>
      <c r="E175" s="2945">
        <v>68.209999999999994</v>
      </c>
      <c r="F175" s="2947" t="s">
        <v>3132</v>
      </c>
    </row>
    <row r="176" spans="1:6" ht="14.25">
      <c r="A176" s="2945">
        <v>174</v>
      </c>
      <c r="B176" s="2947" t="s">
        <v>3070</v>
      </c>
      <c r="C176" s="2945" t="s">
        <v>70</v>
      </c>
      <c r="D176" s="2945" t="s">
        <v>3097</v>
      </c>
      <c r="E176" s="2945">
        <v>68.209999999999994</v>
      </c>
      <c r="F176" s="2947" t="s">
        <v>3132</v>
      </c>
    </row>
    <row r="177" spans="1:6" ht="14.25">
      <c r="A177" s="2945">
        <v>175</v>
      </c>
      <c r="B177" s="2947" t="s">
        <v>3070</v>
      </c>
      <c r="C177" s="2945" t="s">
        <v>70</v>
      </c>
      <c r="D177" s="2945" t="s">
        <v>3098</v>
      </c>
      <c r="E177" s="2945">
        <v>68.209999999999994</v>
      </c>
      <c r="F177" s="2947" t="s">
        <v>3132</v>
      </c>
    </row>
    <row r="178" spans="1:6" ht="14.25">
      <c r="A178" s="2945">
        <v>176</v>
      </c>
      <c r="B178" s="2947" t="s">
        <v>3070</v>
      </c>
      <c r="C178" s="2945" t="s">
        <v>70</v>
      </c>
      <c r="D178" s="2945" t="s">
        <v>3099</v>
      </c>
      <c r="E178" s="2945">
        <v>68.209999999999994</v>
      </c>
      <c r="F178" s="2947" t="s">
        <v>3132</v>
      </c>
    </row>
    <row r="179" spans="1:6" ht="14.25">
      <c r="A179" s="2945">
        <v>177</v>
      </c>
      <c r="B179" s="2947" t="s">
        <v>3070</v>
      </c>
      <c r="C179" s="2945" t="s">
        <v>70</v>
      </c>
      <c r="D179" s="2945" t="s">
        <v>3100</v>
      </c>
      <c r="E179" s="2945">
        <v>68.209999999999994</v>
      </c>
      <c r="F179" s="2947" t="s">
        <v>3132</v>
      </c>
    </row>
    <row r="180" spans="1:6" ht="14.25">
      <c r="A180" s="2945">
        <v>178</v>
      </c>
      <c r="B180" s="2947" t="s">
        <v>3070</v>
      </c>
      <c r="C180" s="2945" t="s">
        <v>70</v>
      </c>
      <c r="D180" s="2945" t="s">
        <v>3101</v>
      </c>
      <c r="E180" s="2945">
        <v>68.209999999999994</v>
      </c>
      <c r="F180" s="2947" t="s">
        <v>3132</v>
      </c>
    </row>
    <row r="181" spans="1:6" ht="14.25">
      <c r="A181" s="2945">
        <v>179</v>
      </c>
      <c r="B181" s="2947" t="s">
        <v>3070</v>
      </c>
      <c r="C181" s="2945" t="s">
        <v>70</v>
      </c>
      <c r="D181" s="2945" t="s">
        <v>3102</v>
      </c>
      <c r="E181" s="2945">
        <v>68.209999999999994</v>
      </c>
      <c r="F181" s="2947" t="s">
        <v>3132</v>
      </c>
    </row>
    <row r="182" spans="1:6" ht="14.25">
      <c r="A182" s="2945">
        <v>180</v>
      </c>
      <c r="B182" s="2947" t="s">
        <v>3070</v>
      </c>
      <c r="C182" s="2945" t="s">
        <v>70</v>
      </c>
      <c r="D182" s="2945" t="s">
        <v>3103</v>
      </c>
      <c r="E182" s="2945">
        <v>52.62</v>
      </c>
      <c r="F182" s="2947" t="s">
        <v>3132</v>
      </c>
    </row>
    <row r="183" spans="1:6" ht="14.25">
      <c r="A183" s="2945">
        <v>181</v>
      </c>
      <c r="B183" s="2947" t="s">
        <v>3070</v>
      </c>
      <c r="C183" s="2945" t="s">
        <v>70</v>
      </c>
      <c r="D183" s="2945" t="s">
        <v>3104</v>
      </c>
      <c r="E183" s="2945">
        <v>52.62</v>
      </c>
      <c r="F183" s="2947" t="s">
        <v>3132</v>
      </c>
    </row>
    <row r="184" spans="1:6" ht="14.25">
      <c r="A184" s="2945">
        <v>182</v>
      </c>
      <c r="B184" s="2947" t="s">
        <v>3070</v>
      </c>
      <c r="C184" s="2945" t="s">
        <v>70</v>
      </c>
      <c r="D184" s="2945" t="s">
        <v>3105</v>
      </c>
      <c r="E184" s="2945">
        <v>52.62</v>
      </c>
      <c r="F184" s="2947" t="s">
        <v>3132</v>
      </c>
    </row>
    <row r="185" spans="1:6" ht="14.25">
      <c r="A185" s="2945">
        <v>183</v>
      </c>
      <c r="B185" s="2947" t="s">
        <v>3070</v>
      </c>
      <c r="C185" s="2945" t="s">
        <v>70</v>
      </c>
      <c r="D185" s="2945" t="s">
        <v>3106</v>
      </c>
      <c r="E185" s="2945">
        <v>52.62</v>
      </c>
      <c r="F185" s="2947" t="s">
        <v>3132</v>
      </c>
    </row>
    <row r="186" spans="1:6" ht="14.25">
      <c r="A186" s="2945">
        <v>184</v>
      </c>
      <c r="B186" s="2947" t="s">
        <v>3070</v>
      </c>
      <c r="C186" s="2945" t="s">
        <v>70</v>
      </c>
      <c r="D186" s="2945" t="s">
        <v>3107</v>
      </c>
      <c r="E186" s="2945">
        <v>48.23</v>
      </c>
      <c r="F186" s="2947" t="s">
        <v>3132</v>
      </c>
    </row>
    <row r="187" spans="1:6" ht="14.25">
      <c r="A187" s="2945">
        <v>185</v>
      </c>
      <c r="B187" s="2947" t="s">
        <v>3070</v>
      </c>
      <c r="C187" s="2945" t="s">
        <v>70</v>
      </c>
      <c r="D187" s="2945" t="s">
        <v>3108</v>
      </c>
      <c r="E187" s="2945">
        <v>68.209999999999994</v>
      </c>
      <c r="F187" s="2947" t="s">
        <v>3132</v>
      </c>
    </row>
    <row r="188" spans="1:6" ht="14.25">
      <c r="A188" s="2945">
        <v>186</v>
      </c>
      <c r="B188" s="2947" t="s">
        <v>3070</v>
      </c>
      <c r="C188" s="2945" t="s">
        <v>70</v>
      </c>
      <c r="D188" s="2945" t="s">
        <v>3109</v>
      </c>
      <c r="E188" s="2945">
        <v>68.209999999999994</v>
      </c>
      <c r="F188" s="2947" t="s">
        <v>3132</v>
      </c>
    </row>
    <row r="189" spans="1:6" ht="14.25">
      <c r="A189" s="2945">
        <v>187</v>
      </c>
      <c r="B189" s="2947" t="s">
        <v>3070</v>
      </c>
      <c r="C189" s="2945" t="s">
        <v>70</v>
      </c>
      <c r="D189" s="2945" t="s">
        <v>3110</v>
      </c>
      <c r="E189" s="2945">
        <v>68.209999999999994</v>
      </c>
      <c r="F189" s="2947" t="s">
        <v>3132</v>
      </c>
    </row>
    <row r="190" spans="1:6" ht="14.25">
      <c r="A190" s="2945">
        <v>188</v>
      </c>
      <c r="B190" s="2947" t="s">
        <v>3070</v>
      </c>
      <c r="C190" s="2945" t="s">
        <v>70</v>
      </c>
      <c r="D190" s="2945" t="s">
        <v>3111</v>
      </c>
      <c r="E190" s="2945">
        <v>68.209999999999994</v>
      </c>
      <c r="F190" s="2947" t="s">
        <v>3132</v>
      </c>
    </row>
    <row r="191" spans="1:6" ht="14.25">
      <c r="A191" s="2945">
        <v>189</v>
      </c>
      <c r="B191" s="2947" t="s">
        <v>3070</v>
      </c>
      <c r="C191" s="2945" t="s">
        <v>70</v>
      </c>
      <c r="D191" s="2945" t="s">
        <v>3112</v>
      </c>
      <c r="E191" s="2945">
        <v>68.209999999999994</v>
      </c>
      <c r="F191" s="2947" t="s">
        <v>3132</v>
      </c>
    </row>
    <row r="192" spans="1:6" ht="14.25">
      <c r="A192" s="2945">
        <v>190</v>
      </c>
      <c r="B192" s="2947" t="s">
        <v>3070</v>
      </c>
      <c r="C192" s="2945" t="s">
        <v>70</v>
      </c>
      <c r="D192" s="2945" t="s">
        <v>3113</v>
      </c>
      <c r="E192" s="2945">
        <v>68.209999999999994</v>
      </c>
      <c r="F192" s="2947" t="s">
        <v>3132</v>
      </c>
    </row>
    <row r="193" spans="1:6" ht="14.25">
      <c r="A193" s="2945">
        <v>191</v>
      </c>
      <c r="B193" s="2947" t="s">
        <v>3070</v>
      </c>
      <c r="C193" s="2945" t="s">
        <v>70</v>
      </c>
      <c r="D193" s="2945" t="s">
        <v>3114</v>
      </c>
      <c r="E193" s="2945">
        <v>68.209999999999994</v>
      </c>
      <c r="F193" s="2947" t="s">
        <v>3132</v>
      </c>
    </row>
    <row r="194" spans="1:6" ht="14.25">
      <c r="A194" s="2945">
        <v>192</v>
      </c>
      <c r="B194" s="2947" t="s">
        <v>3070</v>
      </c>
      <c r="C194" s="2945" t="s">
        <v>70</v>
      </c>
      <c r="D194" s="2945" t="s">
        <v>3115</v>
      </c>
      <c r="E194" s="2945">
        <v>68.209999999999994</v>
      </c>
      <c r="F194" s="2947" t="s">
        <v>3132</v>
      </c>
    </row>
    <row r="195" spans="1:6" ht="14.25">
      <c r="A195" s="2945">
        <v>193</v>
      </c>
      <c r="B195" s="2947" t="s">
        <v>3070</v>
      </c>
      <c r="C195" s="2945" t="s">
        <v>70</v>
      </c>
      <c r="D195" s="2945" t="s">
        <v>3116</v>
      </c>
      <c r="E195" s="2945">
        <v>68.209999999999994</v>
      </c>
      <c r="F195" s="2947" t="s">
        <v>3132</v>
      </c>
    </row>
    <row r="196" spans="1:6" ht="14.25">
      <c r="A196" s="2945">
        <v>194</v>
      </c>
      <c r="B196" s="2947" t="s">
        <v>3070</v>
      </c>
      <c r="C196" s="2945" t="s">
        <v>70</v>
      </c>
      <c r="D196" s="2945" t="s">
        <v>3117</v>
      </c>
      <c r="E196" s="2945">
        <v>68.209999999999994</v>
      </c>
      <c r="F196" s="2947" t="s">
        <v>3132</v>
      </c>
    </row>
    <row r="197" spans="1:6" ht="14.25">
      <c r="A197" s="2945">
        <v>195</v>
      </c>
      <c r="B197" s="2947" t="s">
        <v>3070</v>
      </c>
      <c r="C197" s="2945" t="s">
        <v>70</v>
      </c>
      <c r="D197" s="2945" t="s">
        <v>3118</v>
      </c>
      <c r="E197" s="2945">
        <v>136.41</v>
      </c>
      <c r="F197" s="2947" t="s">
        <v>3132</v>
      </c>
    </row>
    <row r="198" spans="1:6" ht="14.25">
      <c r="A198" s="2945">
        <v>196</v>
      </c>
      <c r="B198" s="2947" t="s">
        <v>3070</v>
      </c>
      <c r="C198" s="2945" t="s">
        <v>70</v>
      </c>
      <c r="D198" s="2945" t="s">
        <v>3119</v>
      </c>
      <c r="E198" s="2945">
        <v>136.41</v>
      </c>
      <c r="F198" s="2947" t="s">
        <v>3132</v>
      </c>
    </row>
    <row r="199" spans="1:6" ht="14.25">
      <c r="A199" s="2945">
        <v>197</v>
      </c>
      <c r="B199" s="2947" t="s">
        <v>3070</v>
      </c>
      <c r="C199" s="2945" t="s">
        <v>70</v>
      </c>
      <c r="D199" s="2945" t="s">
        <v>3120</v>
      </c>
      <c r="E199" s="2945">
        <v>136.41</v>
      </c>
      <c r="F199" s="2947" t="s">
        <v>3132</v>
      </c>
    </row>
    <row r="200" spans="1:6" ht="14.25">
      <c r="A200" s="2945">
        <v>198</v>
      </c>
      <c r="B200" s="2947" t="s">
        <v>3070</v>
      </c>
      <c r="C200" s="2945" t="s">
        <v>70</v>
      </c>
      <c r="D200" s="2945" t="s">
        <v>3121</v>
      </c>
      <c r="E200" s="2945">
        <v>136.41</v>
      </c>
      <c r="F200" s="2947" t="s">
        <v>3132</v>
      </c>
    </row>
    <row r="201" spans="1:6" ht="14.25">
      <c r="A201" s="2945">
        <v>199</v>
      </c>
      <c r="B201" s="2947" t="s">
        <v>3070</v>
      </c>
      <c r="C201" s="2945" t="s">
        <v>70</v>
      </c>
      <c r="D201" s="2945" t="s">
        <v>3122</v>
      </c>
      <c r="E201" s="2945">
        <v>136.41</v>
      </c>
      <c r="F201" s="2947" t="s">
        <v>3132</v>
      </c>
    </row>
    <row r="202" spans="1:6" ht="14.25">
      <c r="A202" s="2945">
        <v>200</v>
      </c>
      <c r="B202" s="2947" t="s">
        <v>3070</v>
      </c>
      <c r="C202" s="2945" t="s">
        <v>70</v>
      </c>
      <c r="D202" s="2945" t="s">
        <v>3123</v>
      </c>
      <c r="E202" s="2945">
        <v>136.41</v>
      </c>
      <c r="F202" s="2947" t="s">
        <v>3132</v>
      </c>
    </row>
    <row r="203" spans="1:6" ht="14.25">
      <c r="A203" s="2945">
        <v>201</v>
      </c>
      <c r="B203" s="2947" t="s">
        <v>3070</v>
      </c>
      <c r="C203" s="2945" t="s">
        <v>70</v>
      </c>
      <c r="D203" s="2945" t="s">
        <v>3124</v>
      </c>
      <c r="E203" s="2945">
        <v>136.41</v>
      </c>
      <c r="F203" s="2947" t="s">
        <v>3132</v>
      </c>
    </row>
    <row r="204" spans="1:6" ht="14.25">
      <c r="A204" s="2945">
        <v>202</v>
      </c>
      <c r="B204" s="2947" t="s">
        <v>3070</v>
      </c>
      <c r="C204" s="2945" t="s">
        <v>70</v>
      </c>
      <c r="D204" s="2945" t="s">
        <v>3125</v>
      </c>
      <c r="E204" s="2945">
        <v>136.41</v>
      </c>
      <c r="F204" s="2947" t="s">
        <v>3132</v>
      </c>
    </row>
    <row r="205" spans="1:6" ht="14.25">
      <c r="A205" s="2945">
        <v>203</v>
      </c>
      <c r="B205" s="2947" t="s">
        <v>3070</v>
      </c>
      <c r="C205" s="2945" t="s">
        <v>70</v>
      </c>
      <c r="D205" s="2945" t="s">
        <v>3126</v>
      </c>
      <c r="E205" s="2945">
        <v>136.41</v>
      </c>
      <c r="F205" s="2947" t="s">
        <v>3132</v>
      </c>
    </row>
    <row r="206" spans="1:6" ht="14.25">
      <c r="A206" s="2945">
        <v>204</v>
      </c>
      <c r="B206" s="2947" t="s">
        <v>3070</v>
      </c>
      <c r="C206" s="2945" t="s">
        <v>70</v>
      </c>
      <c r="D206" s="2945" t="s">
        <v>3127</v>
      </c>
      <c r="E206" s="2945">
        <v>136.41</v>
      </c>
      <c r="F206" s="2947" t="s">
        <v>3132</v>
      </c>
    </row>
    <row r="207" spans="1:6" ht="14.25">
      <c r="A207" s="2945">
        <v>205</v>
      </c>
      <c r="B207" s="2947" t="s">
        <v>3070</v>
      </c>
      <c r="C207" s="2945" t="s">
        <v>70</v>
      </c>
      <c r="D207" s="2945" t="s">
        <v>3128</v>
      </c>
      <c r="E207" s="2945">
        <v>136.41</v>
      </c>
      <c r="F207" s="2947" t="s">
        <v>3132</v>
      </c>
    </row>
    <row r="208" spans="1:6" ht="14.25">
      <c r="A208" s="2945">
        <v>206</v>
      </c>
      <c r="B208" s="2947" t="s">
        <v>3070</v>
      </c>
      <c r="C208" s="2945" t="s">
        <v>70</v>
      </c>
      <c r="D208" s="2945" t="s">
        <v>3129</v>
      </c>
      <c r="E208" s="2945">
        <v>136.41</v>
      </c>
      <c r="F208" s="2947" t="s">
        <v>3132</v>
      </c>
    </row>
    <row r="209" spans="1:6" ht="14.25">
      <c r="A209" s="2945">
        <v>207</v>
      </c>
      <c r="B209" s="2947" t="s">
        <v>3070</v>
      </c>
      <c r="C209" s="2945" t="s">
        <v>70</v>
      </c>
      <c r="D209" s="2945" t="s">
        <v>3130</v>
      </c>
      <c r="E209" s="2945">
        <v>136.41</v>
      </c>
      <c r="F209" s="2947" t="s">
        <v>3132</v>
      </c>
    </row>
    <row r="210" spans="1:6" ht="14.25">
      <c r="A210" s="2945">
        <v>208</v>
      </c>
      <c r="B210" s="2957" t="s">
        <v>3070</v>
      </c>
      <c r="C210" s="2953" t="s">
        <v>70</v>
      </c>
      <c r="D210" s="2953" t="s">
        <v>3131</v>
      </c>
      <c r="E210" s="2953">
        <v>136.41</v>
      </c>
      <c r="F210" s="2947" t="s">
        <v>3132</v>
      </c>
    </row>
    <row r="211" spans="1:6" ht="14.25">
      <c r="A211" s="2951">
        <v>209</v>
      </c>
      <c r="B211" s="2947" t="s">
        <v>3069</v>
      </c>
      <c r="C211" s="2945" t="s">
        <v>70</v>
      </c>
      <c r="D211" s="2945" t="s">
        <v>3133</v>
      </c>
      <c r="E211" s="2945">
        <v>136.41</v>
      </c>
      <c r="F211" s="2947" t="s">
        <v>3132</v>
      </c>
    </row>
    <row r="212" spans="1:6" ht="14.25">
      <c r="A212" s="2945">
        <v>210</v>
      </c>
      <c r="B212" s="2947" t="s">
        <v>3069</v>
      </c>
      <c r="C212" s="2945" t="s">
        <v>70</v>
      </c>
      <c r="D212" s="2945" t="s">
        <v>3134</v>
      </c>
      <c r="E212" s="2945">
        <v>68.77</v>
      </c>
      <c r="F212" s="2947" t="s">
        <v>3132</v>
      </c>
    </row>
    <row r="213" spans="1:6" ht="14.25">
      <c r="A213" s="2945">
        <v>211</v>
      </c>
      <c r="B213" s="2947" t="s">
        <v>3069</v>
      </c>
      <c r="C213" s="2945" t="s">
        <v>70</v>
      </c>
      <c r="D213" s="2945" t="s">
        <v>3135</v>
      </c>
      <c r="E213" s="2945">
        <v>68.77</v>
      </c>
      <c r="F213" s="2947" t="s">
        <v>3132</v>
      </c>
    </row>
    <row r="214" spans="1:6" ht="14.25">
      <c r="A214" s="2945">
        <v>212</v>
      </c>
      <c r="B214" s="2947" t="s">
        <v>3069</v>
      </c>
      <c r="C214" s="2945" t="s">
        <v>70</v>
      </c>
      <c r="D214" s="2945" t="s">
        <v>3136</v>
      </c>
      <c r="E214" s="2945">
        <v>68.209999999999994</v>
      </c>
      <c r="F214" s="2947" t="s">
        <v>3132</v>
      </c>
    </row>
    <row r="215" spans="1:6" ht="14.25">
      <c r="A215" s="2945">
        <v>213</v>
      </c>
      <c r="B215" s="2947" t="s">
        <v>3069</v>
      </c>
      <c r="C215" s="2945" t="s">
        <v>70</v>
      </c>
      <c r="D215" s="2945" t="s">
        <v>3137</v>
      </c>
      <c r="E215" s="2945">
        <v>68.209999999999994</v>
      </c>
      <c r="F215" s="2947" t="s">
        <v>3132</v>
      </c>
    </row>
    <row r="216" spans="1:6" ht="14.25">
      <c r="A216" s="2945">
        <v>214</v>
      </c>
      <c r="B216" s="2947" t="s">
        <v>3069</v>
      </c>
      <c r="C216" s="2945" t="s">
        <v>70</v>
      </c>
      <c r="D216" s="2945" t="s">
        <v>3138</v>
      </c>
      <c r="E216" s="2945">
        <v>68.209999999999994</v>
      </c>
      <c r="F216" s="2947" t="s">
        <v>3132</v>
      </c>
    </row>
    <row r="217" spans="1:6" ht="14.25">
      <c r="A217" s="2945">
        <v>215</v>
      </c>
      <c r="B217" s="2947" t="s">
        <v>3069</v>
      </c>
      <c r="C217" s="2945" t="s">
        <v>70</v>
      </c>
      <c r="D217" s="2945" t="s">
        <v>3139</v>
      </c>
      <c r="E217" s="2945">
        <v>68.209999999999994</v>
      </c>
      <c r="F217" s="2947" t="s">
        <v>3132</v>
      </c>
    </row>
    <row r="218" spans="1:6" ht="14.25">
      <c r="A218" s="2945">
        <v>216</v>
      </c>
      <c r="B218" s="2947" t="s">
        <v>3069</v>
      </c>
      <c r="C218" s="2945" t="s">
        <v>70</v>
      </c>
      <c r="D218" s="2945" t="s">
        <v>3140</v>
      </c>
      <c r="E218" s="2945">
        <v>68.209999999999994</v>
      </c>
      <c r="F218" s="2947" t="s">
        <v>3132</v>
      </c>
    </row>
    <row r="219" spans="1:6" ht="14.25">
      <c r="A219" s="2945">
        <v>217</v>
      </c>
      <c r="B219" s="2947" t="s">
        <v>3069</v>
      </c>
      <c r="C219" s="2945" t="s">
        <v>70</v>
      </c>
      <c r="D219" s="2945" t="s">
        <v>3141</v>
      </c>
      <c r="E219" s="2945">
        <v>68.209999999999994</v>
      </c>
      <c r="F219" s="2947" t="s">
        <v>3132</v>
      </c>
    </row>
    <row r="220" spans="1:6" ht="14.25">
      <c r="A220" s="2945">
        <v>218</v>
      </c>
      <c r="B220" s="2947" t="s">
        <v>3069</v>
      </c>
      <c r="C220" s="2945" t="s">
        <v>70</v>
      </c>
      <c r="D220" s="2945" t="s">
        <v>3142</v>
      </c>
      <c r="E220" s="2945">
        <v>68.209999999999994</v>
      </c>
      <c r="F220" s="2947" t="s">
        <v>3132</v>
      </c>
    </row>
    <row r="221" spans="1:6" ht="14.25">
      <c r="A221" s="2945">
        <v>219</v>
      </c>
      <c r="B221" s="2947" t="s">
        <v>3069</v>
      </c>
      <c r="C221" s="2945" t="s">
        <v>70</v>
      </c>
      <c r="D221" s="2945" t="s">
        <v>3143</v>
      </c>
      <c r="E221" s="2945">
        <v>68.209999999999994</v>
      </c>
      <c r="F221" s="2947" t="s">
        <v>3132</v>
      </c>
    </row>
    <row r="222" spans="1:6" ht="14.25">
      <c r="A222" s="2945">
        <v>220</v>
      </c>
      <c r="B222" s="2947" t="s">
        <v>3069</v>
      </c>
      <c r="C222" s="2945" t="s">
        <v>70</v>
      </c>
      <c r="D222" s="2945" t="s">
        <v>3144</v>
      </c>
      <c r="E222" s="2945">
        <v>58.46</v>
      </c>
      <c r="F222" s="2947" t="s">
        <v>3132</v>
      </c>
    </row>
    <row r="223" spans="1:6" ht="14.25">
      <c r="A223" s="2945">
        <v>221</v>
      </c>
      <c r="B223" s="2947" t="s">
        <v>3069</v>
      </c>
      <c r="C223" s="2945" t="s">
        <v>70</v>
      </c>
      <c r="D223" s="2945" t="s">
        <v>3145</v>
      </c>
      <c r="E223" s="2945">
        <v>136.41</v>
      </c>
      <c r="F223" s="2947" t="s">
        <v>3132</v>
      </c>
    </row>
    <row r="224" spans="1:6" ht="14.25">
      <c r="A224" s="2945">
        <v>222</v>
      </c>
      <c r="B224" s="2947" t="s">
        <v>3069</v>
      </c>
      <c r="C224" s="2945" t="s">
        <v>70</v>
      </c>
      <c r="D224" s="2945" t="s">
        <v>3146</v>
      </c>
      <c r="E224" s="2945">
        <v>137.63</v>
      </c>
      <c r="F224" s="2947" t="s">
        <v>3132</v>
      </c>
    </row>
    <row r="225" spans="1:6" ht="14.25">
      <c r="A225" s="2945">
        <v>223</v>
      </c>
      <c r="B225" s="2947" t="s">
        <v>3069</v>
      </c>
      <c r="C225" s="2945" t="s">
        <v>70</v>
      </c>
      <c r="D225" s="2945" t="s">
        <v>3147</v>
      </c>
      <c r="E225" s="2945">
        <v>68.209999999999994</v>
      </c>
      <c r="F225" s="2947" t="s">
        <v>3132</v>
      </c>
    </row>
    <row r="226" spans="1:6" ht="14.25">
      <c r="A226" s="2945">
        <v>224</v>
      </c>
      <c r="B226" s="2947" t="s">
        <v>3069</v>
      </c>
      <c r="C226" s="2945" t="s">
        <v>70</v>
      </c>
      <c r="D226" s="2945" t="s">
        <v>3148</v>
      </c>
      <c r="E226" s="2945">
        <v>136.41</v>
      </c>
      <c r="F226" s="2947" t="s">
        <v>3132</v>
      </c>
    </row>
    <row r="227" spans="1:6" ht="14.25">
      <c r="A227" s="2945">
        <v>225</v>
      </c>
      <c r="B227" s="2947" t="s">
        <v>3069</v>
      </c>
      <c r="C227" s="2945" t="s">
        <v>70</v>
      </c>
      <c r="D227" s="2945" t="s">
        <v>3149</v>
      </c>
      <c r="E227" s="2945">
        <v>68.209999999999994</v>
      </c>
      <c r="F227" s="2947" t="s">
        <v>3132</v>
      </c>
    </row>
    <row r="228" spans="1:6" ht="14.25">
      <c r="A228" s="2945">
        <v>226</v>
      </c>
      <c r="B228" s="2947" t="s">
        <v>3069</v>
      </c>
      <c r="C228" s="2945" t="s">
        <v>70</v>
      </c>
      <c r="D228" s="2945" t="s">
        <v>3150</v>
      </c>
      <c r="E228" s="2945">
        <v>52.62</v>
      </c>
      <c r="F228" s="2947" t="s">
        <v>3132</v>
      </c>
    </row>
    <row r="229" spans="1:6" ht="14.25">
      <c r="A229" s="2945">
        <v>227</v>
      </c>
      <c r="B229" s="2947" t="s">
        <v>3069</v>
      </c>
      <c r="C229" s="2945" t="s">
        <v>70</v>
      </c>
      <c r="D229" s="2945" t="s">
        <v>3151</v>
      </c>
      <c r="E229" s="2945">
        <v>52.62</v>
      </c>
      <c r="F229" s="2947" t="s">
        <v>3132</v>
      </c>
    </row>
    <row r="230" spans="1:6" ht="14.25">
      <c r="A230" s="2945">
        <v>228</v>
      </c>
      <c r="B230" s="2947" t="s">
        <v>3069</v>
      </c>
      <c r="C230" s="2945" t="s">
        <v>70</v>
      </c>
      <c r="D230" s="2945" t="s">
        <v>3152</v>
      </c>
      <c r="E230" s="2945">
        <v>136.41</v>
      </c>
      <c r="F230" s="2947" t="s">
        <v>3132</v>
      </c>
    </row>
    <row r="231" spans="1:6" ht="14.25">
      <c r="A231" s="2945">
        <v>229</v>
      </c>
      <c r="B231" s="2947" t="s">
        <v>3069</v>
      </c>
      <c r="C231" s="2945" t="s">
        <v>70</v>
      </c>
      <c r="D231" s="2945" t="s">
        <v>3153</v>
      </c>
      <c r="E231" s="2945">
        <v>116.92</v>
      </c>
      <c r="F231" s="2947" t="s">
        <v>3132</v>
      </c>
    </row>
    <row r="232" spans="1:6" ht="14.25">
      <c r="A232" s="2945">
        <v>230</v>
      </c>
      <c r="B232" s="2947" t="s">
        <v>3069</v>
      </c>
      <c r="C232" s="2945" t="s">
        <v>70</v>
      </c>
      <c r="D232" s="2945" t="s">
        <v>3154</v>
      </c>
      <c r="E232" s="2945">
        <v>68.209999999999994</v>
      </c>
      <c r="F232" s="2947" t="s">
        <v>3132</v>
      </c>
    </row>
    <row r="233" spans="1:6" ht="14.25">
      <c r="A233" s="2945">
        <v>231</v>
      </c>
      <c r="B233" s="2947" t="s">
        <v>3069</v>
      </c>
      <c r="C233" s="2945" t="s">
        <v>70</v>
      </c>
      <c r="D233" s="2945" t="s">
        <v>3155</v>
      </c>
      <c r="E233" s="2945">
        <v>68.209999999999994</v>
      </c>
      <c r="F233" s="2947" t="s">
        <v>3132</v>
      </c>
    </row>
    <row r="234" spans="1:6" ht="14.25">
      <c r="A234" s="2945">
        <v>232</v>
      </c>
      <c r="B234" s="2947" t="s">
        <v>3069</v>
      </c>
      <c r="C234" s="2945" t="s">
        <v>70</v>
      </c>
      <c r="D234" s="2945" t="s">
        <v>3156</v>
      </c>
      <c r="E234" s="2945">
        <v>68.209999999999994</v>
      </c>
      <c r="F234" s="2947" t="s">
        <v>3132</v>
      </c>
    </row>
    <row r="235" spans="1:6" ht="14.25">
      <c r="A235" s="2945">
        <v>233</v>
      </c>
      <c r="B235" s="2947" t="s">
        <v>3069</v>
      </c>
      <c r="C235" s="2945" t="s">
        <v>70</v>
      </c>
      <c r="D235" s="2945" t="s">
        <v>3157</v>
      </c>
      <c r="E235" s="2945">
        <v>68.209999999999994</v>
      </c>
      <c r="F235" s="2947" t="s">
        <v>3132</v>
      </c>
    </row>
    <row r="236" spans="1:6" ht="14.25">
      <c r="A236" s="2945">
        <v>234</v>
      </c>
      <c r="B236" s="2947" t="s">
        <v>3069</v>
      </c>
      <c r="C236" s="2945" t="s">
        <v>70</v>
      </c>
      <c r="D236" s="2945" t="s">
        <v>3158</v>
      </c>
      <c r="E236" s="2945">
        <v>137.63</v>
      </c>
      <c r="F236" s="2947" t="s">
        <v>3132</v>
      </c>
    </row>
    <row r="237" spans="1:6" ht="14.25">
      <c r="A237" s="2945">
        <v>235</v>
      </c>
      <c r="B237" s="2947" t="s">
        <v>3069</v>
      </c>
      <c r="C237" s="2945" t="s">
        <v>70</v>
      </c>
      <c r="D237" s="2945" t="s">
        <v>3159</v>
      </c>
      <c r="E237" s="2945">
        <v>68.209999999999994</v>
      </c>
      <c r="F237" s="2947" t="s">
        <v>3132</v>
      </c>
    </row>
    <row r="238" spans="1:6" ht="14.25">
      <c r="A238" s="2945">
        <v>236</v>
      </c>
      <c r="B238" s="2947" t="s">
        <v>3069</v>
      </c>
      <c r="C238" s="2945" t="s">
        <v>70</v>
      </c>
      <c r="D238" s="2945" t="s">
        <v>3160</v>
      </c>
      <c r="E238" s="2945">
        <v>137.63</v>
      </c>
      <c r="F238" s="2947" t="s">
        <v>3132</v>
      </c>
    </row>
    <row r="239" spans="1:6" ht="14.25">
      <c r="A239" s="2945">
        <v>237</v>
      </c>
      <c r="B239" s="2947" t="s">
        <v>3069</v>
      </c>
      <c r="C239" s="2945" t="s">
        <v>70</v>
      </c>
      <c r="D239" s="2945" t="s">
        <v>3161</v>
      </c>
      <c r="E239" s="2945">
        <v>68.209999999999994</v>
      </c>
      <c r="F239" s="2947" t="s">
        <v>3132</v>
      </c>
    </row>
    <row r="240" spans="1:6" ht="14.25">
      <c r="A240" s="2945">
        <v>238</v>
      </c>
      <c r="B240" s="2947" t="s">
        <v>3069</v>
      </c>
      <c r="C240" s="2945" t="s">
        <v>70</v>
      </c>
      <c r="D240" s="2945" t="s">
        <v>3162</v>
      </c>
      <c r="E240" s="2945">
        <v>68.209999999999994</v>
      </c>
      <c r="F240" s="2947" t="s">
        <v>3132</v>
      </c>
    </row>
    <row r="241" spans="1:6" ht="14.25">
      <c r="A241" s="2945">
        <v>239</v>
      </c>
      <c r="B241" s="2947" t="s">
        <v>3069</v>
      </c>
      <c r="C241" s="2945" t="s">
        <v>70</v>
      </c>
      <c r="D241" s="2945" t="s">
        <v>3163</v>
      </c>
      <c r="E241" s="2945">
        <v>68.209999999999994</v>
      </c>
      <c r="F241" s="2947" t="s">
        <v>3132</v>
      </c>
    </row>
    <row r="242" spans="1:6" ht="14.25">
      <c r="A242" s="2945">
        <v>240</v>
      </c>
      <c r="B242" s="2947" t="s">
        <v>3069</v>
      </c>
      <c r="C242" s="2945" t="s">
        <v>70</v>
      </c>
      <c r="D242" s="2945" t="s">
        <v>3164</v>
      </c>
      <c r="E242" s="2945">
        <v>68.209999999999994</v>
      </c>
      <c r="F242" s="2947" t="s">
        <v>3132</v>
      </c>
    </row>
    <row r="243" spans="1:6" ht="14.25">
      <c r="A243" s="2945">
        <v>241</v>
      </c>
      <c r="B243" s="2947" t="s">
        <v>3069</v>
      </c>
      <c r="C243" s="2945" t="s">
        <v>70</v>
      </c>
      <c r="D243" s="2945" t="s">
        <v>3165</v>
      </c>
      <c r="E243" s="2945">
        <v>137.63</v>
      </c>
      <c r="F243" s="2947" t="s">
        <v>3132</v>
      </c>
    </row>
    <row r="244" spans="1:6" ht="14.25">
      <c r="A244" s="2945">
        <v>242</v>
      </c>
      <c r="B244" s="2947" t="s">
        <v>3069</v>
      </c>
      <c r="C244" s="2945" t="s">
        <v>70</v>
      </c>
      <c r="D244" s="2945" t="s">
        <v>3166</v>
      </c>
      <c r="E244" s="2945">
        <v>68.209999999999994</v>
      </c>
      <c r="F244" s="2947" t="s">
        <v>3132</v>
      </c>
    </row>
    <row r="245" spans="1:6" ht="14.25">
      <c r="A245" s="2945">
        <v>243</v>
      </c>
      <c r="B245" s="2947" t="s">
        <v>3069</v>
      </c>
      <c r="C245" s="2945" t="s">
        <v>70</v>
      </c>
      <c r="D245" s="2945" t="s">
        <v>3167</v>
      </c>
      <c r="E245" s="2945">
        <v>137.63</v>
      </c>
      <c r="F245" s="2947" t="s">
        <v>3132</v>
      </c>
    </row>
    <row r="246" spans="1:6" ht="14.25">
      <c r="A246" s="2945">
        <v>244</v>
      </c>
      <c r="B246" s="2947" t="s">
        <v>3069</v>
      </c>
      <c r="C246" s="2945" t="s">
        <v>70</v>
      </c>
      <c r="D246" s="2945" t="s">
        <v>3168</v>
      </c>
      <c r="E246" s="2945">
        <v>127.89</v>
      </c>
      <c r="F246" s="2947" t="s">
        <v>3132</v>
      </c>
    </row>
    <row r="247" spans="1:6" ht="14.25">
      <c r="A247" s="2945">
        <v>245</v>
      </c>
      <c r="B247" s="2947" t="s">
        <v>3069</v>
      </c>
      <c r="C247" s="2945" t="s">
        <v>70</v>
      </c>
      <c r="D247" s="2945" t="s">
        <v>3169</v>
      </c>
      <c r="E247" s="2945">
        <v>68.209999999999994</v>
      </c>
      <c r="F247" s="2947" t="s">
        <v>3132</v>
      </c>
    </row>
    <row r="248" spans="1:6" ht="14.25">
      <c r="A248" s="2945">
        <v>246</v>
      </c>
      <c r="B248" s="2947" t="s">
        <v>3069</v>
      </c>
      <c r="C248" s="2945" t="s">
        <v>70</v>
      </c>
      <c r="D248" s="2945" t="s">
        <v>3170</v>
      </c>
      <c r="E248" s="2945">
        <v>68.209999999999994</v>
      </c>
      <c r="F248" s="2947" t="s">
        <v>3132</v>
      </c>
    </row>
    <row r="249" spans="1:6" ht="14.25">
      <c r="A249" s="2945">
        <v>247</v>
      </c>
      <c r="B249" s="2947" t="s">
        <v>3069</v>
      </c>
      <c r="C249" s="2945" t="s">
        <v>70</v>
      </c>
      <c r="D249" s="2945" t="s">
        <v>3171</v>
      </c>
      <c r="E249" s="2945">
        <v>68.209999999999994</v>
      </c>
      <c r="F249" s="2947" t="s">
        <v>3132</v>
      </c>
    </row>
    <row r="250" spans="1:6" ht="14.25">
      <c r="A250" s="2945">
        <v>248</v>
      </c>
      <c r="B250" s="2947" t="s">
        <v>3069</v>
      </c>
      <c r="C250" s="2945" t="s">
        <v>70</v>
      </c>
      <c r="D250" s="2945" t="s">
        <v>3172</v>
      </c>
      <c r="E250" s="2945">
        <v>126.67</v>
      </c>
      <c r="F250" s="2947" t="s">
        <v>3132</v>
      </c>
    </row>
    <row r="251" spans="1:6" ht="14.25">
      <c r="A251" s="2945">
        <v>249</v>
      </c>
      <c r="B251" s="2947" t="s">
        <v>3069</v>
      </c>
      <c r="C251" s="2945" t="s">
        <v>70</v>
      </c>
      <c r="D251" s="2945" t="s">
        <v>3173</v>
      </c>
      <c r="E251" s="2945">
        <v>126.67</v>
      </c>
      <c r="F251" s="2947" t="s">
        <v>3132</v>
      </c>
    </row>
    <row r="252" spans="1:6" ht="14.25">
      <c r="A252" s="2945">
        <v>250</v>
      </c>
      <c r="B252" s="2947" t="s">
        <v>3069</v>
      </c>
      <c r="C252" s="2945" t="s">
        <v>70</v>
      </c>
      <c r="D252" s="2945" t="s">
        <v>3174</v>
      </c>
      <c r="E252" s="2945">
        <v>136.41</v>
      </c>
      <c r="F252" s="2947" t="s">
        <v>3132</v>
      </c>
    </row>
    <row r="253" spans="1:6" ht="14.25">
      <c r="A253" s="2945">
        <v>251</v>
      </c>
      <c r="B253" s="2947" t="s">
        <v>3069</v>
      </c>
      <c r="C253" s="2945" t="s">
        <v>70</v>
      </c>
      <c r="D253" s="2945" t="s">
        <v>3175</v>
      </c>
      <c r="E253" s="2945">
        <v>52.62</v>
      </c>
      <c r="F253" s="2947" t="s">
        <v>3132</v>
      </c>
    </row>
    <row r="254" spans="1:6" ht="14.25">
      <c r="A254" s="2945">
        <v>252</v>
      </c>
      <c r="B254" s="2957" t="s">
        <v>3069</v>
      </c>
      <c r="C254" s="2953" t="s">
        <v>70</v>
      </c>
      <c r="D254" s="2953" t="s">
        <v>3176</v>
      </c>
      <c r="E254" s="2953">
        <v>52.62</v>
      </c>
      <c r="F254" s="2957" t="s">
        <v>3132</v>
      </c>
    </row>
    <row r="255" spans="1:6" ht="14.25">
      <c r="A255" s="2945">
        <v>253</v>
      </c>
      <c r="B255" s="2947" t="s">
        <v>3069</v>
      </c>
      <c r="C255" s="2945" t="s">
        <v>70</v>
      </c>
      <c r="D255" s="2945" t="s">
        <v>3177</v>
      </c>
      <c r="E255" s="2945">
        <v>68.209999999999994</v>
      </c>
      <c r="F255" s="2947" t="s">
        <v>3132</v>
      </c>
    </row>
    <row r="256" spans="1:6" ht="14.25">
      <c r="A256" s="2945">
        <v>254</v>
      </c>
      <c r="B256" s="2947" t="s">
        <v>3069</v>
      </c>
      <c r="C256" s="2945" t="s">
        <v>70</v>
      </c>
      <c r="D256" s="2945" t="s">
        <v>3178</v>
      </c>
      <c r="E256" s="2945">
        <v>68.209999999999994</v>
      </c>
      <c r="F256" s="2947" t="s">
        <v>3132</v>
      </c>
    </row>
    <row r="257" spans="1:6" ht="14.25">
      <c r="A257" s="2945">
        <v>255</v>
      </c>
      <c r="B257" s="2947" t="s">
        <v>3069</v>
      </c>
      <c r="C257" s="2945" t="s">
        <v>70</v>
      </c>
      <c r="D257" s="2945" t="s">
        <v>3179</v>
      </c>
      <c r="E257" s="2945">
        <v>68.209999999999994</v>
      </c>
      <c r="F257" s="2947" t="s">
        <v>3132</v>
      </c>
    </row>
    <row r="258" spans="1:6" ht="14.25">
      <c r="A258" s="2945">
        <v>256</v>
      </c>
      <c r="B258" s="2947" t="s">
        <v>3069</v>
      </c>
      <c r="C258" s="2945" t="s">
        <v>70</v>
      </c>
      <c r="D258" s="2945" t="s">
        <v>3180</v>
      </c>
      <c r="E258" s="2945">
        <v>68.209999999999994</v>
      </c>
      <c r="F258" s="2947" t="s">
        <v>3132</v>
      </c>
    </row>
    <row r="259" spans="1:6" ht="14.25">
      <c r="A259" s="2945">
        <v>257</v>
      </c>
      <c r="B259" s="2947" t="s">
        <v>3069</v>
      </c>
      <c r="C259" s="2945" t="s">
        <v>70</v>
      </c>
      <c r="D259" s="2945" t="s">
        <v>3181</v>
      </c>
      <c r="E259" s="2945">
        <v>68.209999999999994</v>
      </c>
      <c r="F259" s="2947" t="s">
        <v>3132</v>
      </c>
    </row>
    <row r="260" spans="1:6" ht="14.25">
      <c r="A260" s="2945">
        <v>258</v>
      </c>
      <c r="B260" s="2947" t="s">
        <v>3069</v>
      </c>
      <c r="C260" s="2945" t="s">
        <v>70</v>
      </c>
      <c r="D260" s="2945" t="s">
        <v>3182</v>
      </c>
      <c r="E260" s="2945">
        <v>68.209999999999994</v>
      </c>
      <c r="F260" s="2947" t="s">
        <v>3132</v>
      </c>
    </row>
    <row r="261" spans="1:6" ht="14.25">
      <c r="A261" s="2945">
        <v>259</v>
      </c>
      <c r="B261" s="2947" t="s">
        <v>3069</v>
      </c>
      <c r="C261" s="2945" t="s">
        <v>70</v>
      </c>
      <c r="D261" s="2945" t="s">
        <v>3183</v>
      </c>
      <c r="E261" s="2945">
        <v>68.209999999999994</v>
      </c>
      <c r="F261" s="2947" t="s">
        <v>3132</v>
      </c>
    </row>
    <row r="262" spans="1:6" ht="14.25">
      <c r="A262" s="2945">
        <v>260</v>
      </c>
      <c r="B262" s="2947" t="s">
        <v>3069</v>
      </c>
      <c r="C262" s="2945" t="s">
        <v>70</v>
      </c>
      <c r="D262" s="2945" t="s">
        <v>3184</v>
      </c>
      <c r="E262" s="2945">
        <v>68.209999999999994</v>
      </c>
      <c r="F262" s="2947" t="s">
        <v>3132</v>
      </c>
    </row>
    <row r="263" spans="1:6" ht="14.25">
      <c r="A263" s="2945">
        <v>261</v>
      </c>
      <c r="B263" s="2947" t="s">
        <v>3069</v>
      </c>
      <c r="C263" s="2945" t="s">
        <v>70</v>
      </c>
      <c r="D263" s="2945" t="s">
        <v>3185</v>
      </c>
      <c r="E263" s="2945">
        <v>68.209999999999994</v>
      </c>
      <c r="F263" s="2947" t="s">
        <v>3132</v>
      </c>
    </row>
    <row r="264" spans="1:6" ht="14.25">
      <c r="A264" s="2945">
        <v>262</v>
      </c>
      <c r="B264" s="2947" t="s">
        <v>3069</v>
      </c>
      <c r="C264" s="2945" t="s">
        <v>70</v>
      </c>
      <c r="D264" s="2945" t="s">
        <v>3186</v>
      </c>
      <c r="E264" s="2945">
        <v>68.209999999999994</v>
      </c>
      <c r="F264" s="2947" t="s">
        <v>3132</v>
      </c>
    </row>
    <row r="265" spans="1:6" ht="14.25">
      <c r="A265" s="2945">
        <v>263</v>
      </c>
      <c r="B265" s="2947" t="s">
        <v>3069</v>
      </c>
      <c r="C265" s="2945" t="s">
        <v>70</v>
      </c>
      <c r="D265" s="2945" t="s">
        <v>3187</v>
      </c>
      <c r="E265" s="2945">
        <v>68.209999999999994</v>
      </c>
      <c r="F265" s="2947" t="s">
        <v>3132</v>
      </c>
    </row>
    <row r="266" spans="1:6" ht="14.25">
      <c r="A266" s="2945">
        <v>264</v>
      </c>
      <c r="B266" s="2947" t="s">
        <v>3069</v>
      </c>
      <c r="C266" s="2945" t="s">
        <v>70</v>
      </c>
      <c r="D266" s="2945" t="s">
        <v>3188</v>
      </c>
      <c r="E266" s="2945">
        <v>68.209999999999994</v>
      </c>
      <c r="F266" s="2947" t="s">
        <v>3132</v>
      </c>
    </row>
    <row r="267" spans="1:6" ht="14.25">
      <c r="A267" s="2945">
        <v>265</v>
      </c>
      <c r="B267" s="2947" t="s">
        <v>3069</v>
      </c>
      <c r="C267" s="2945" t="s">
        <v>70</v>
      </c>
      <c r="D267" s="2945" t="s">
        <v>3189</v>
      </c>
      <c r="E267" s="2945">
        <v>68.209999999999994</v>
      </c>
      <c r="F267" s="2947" t="s">
        <v>3132</v>
      </c>
    </row>
    <row r="268" spans="1:6" ht="14.25">
      <c r="A268" s="2945">
        <v>266</v>
      </c>
      <c r="B268" s="2947" t="s">
        <v>3069</v>
      </c>
      <c r="C268" s="2945" t="s">
        <v>70</v>
      </c>
      <c r="D268" s="2945" t="s">
        <v>3190</v>
      </c>
      <c r="E268" s="2945">
        <v>68.209999999999994</v>
      </c>
      <c r="F268" s="2947" t="s">
        <v>3132</v>
      </c>
    </row>
    <row r="269" spans="1:6" ht="14.25">
      <c r="A269" s="2945">
        <v>267</v>
      </c>
      <c r="B269" s="2947" t="s">
        <v>3069</v>
      </c>
      <c r="C269" s="2945" t="s">
        <v>70</v>
      </c>
      <c r="D269" s="2945" t="s">
        <v>3191</v>
      </c>
      <c r="E269" s="2945">
        <v>68.209999999999994</v>
      </c>
      <c r="F269" s="2947" t="s">
        <v>3132</v>
      </c>
    </row>
    <row r="270" spans="1:6" ht="14.25">
      <c r="A270" s="2945">
        <v>268</v>
      </c>
      <c r="B270" s="2947" t="s">
        <v>3069</v>
      </c>
      <c r="C270" s="2945" t="s">
        <v>70</v>
      </c>
      <c r="D270" s="2945" t="s">
        <v>3192</v>
      </c>
      <c r="E270" s="2945">
        <v>68.209999999999994</v>
      </c>
      <c r="F270" s="2947" t="s">
        <v>3132</v>
      </c>
    </row>
    <row r="271" spans="1:6" ht="14.25">
      <c r="A271" s="2945">
        <v>269</v>
      </c>
      <c r="B271" s="2947" t="s">
        <v>3069</v>
      </c>
      <c r="C271" s="2945" t="s">
        <v>70</v>
      </c>
      <c r="D271" s="2945" t="s">
        <v>3193</v>
      </c>
      <c r="E271" s="2945">
        <v>52.62</v>
      </c>
      <c r="F271" s="2947" t="s">
        <v>3132</v>
      </c>
    </row>
    <row r="272" spans="1:6" ht="14.25">
      <c r="A272" s="2945">
        <v>270</v>
      </c>
      <c r="B272" s="2947" t="s">
        <v>3069</v>
      </c>
      <c r="C272" s="2945" t="s">
        <v>70</v>
      </c>
      <c r="D272" s="2945" t="s">
        <v>3194</v>
      </c>
      <c r="E272" s="2945">
        <v>68.209999999999994</v>
      </c>
      <c r="F272" s="2947" t="s">
        <v>3132</v>
      </c>
    </row>
    <row r="273" spans="1:6" ht="14.25">
      <c r="A273" s="2945">
        <v>271</v>
      </c>
      <c r="B273" s="2947" t="s">
        <v>3069</v>
      </c>
      <c r="C273" s="2945" t="s">
        <v>70</v>
      </c>
      <c r="D273" s="2945" t="s">
        <v>3195</v>
      </c>
      <c r="E273" s="2945">
        <v>68.209999999999994</v>
      </c>
      <c r="F273" s="2947" t="s">
        <v>3132</v>
      </c>
    </row>
    <row r="274" spans="1:6" ht="14.25">
      <c r="A274" s="2945">
        <v>272</v>
      </c>
      <c r="B274" s="2947" t="s">
        <v>3069</v>
      </c>
      <c r="C274" s="2945" t="s">
        <v>70</v>
      </c>
      <c r="D274" s="2945" t="s">
        <v>3196</v>
      </c>
      <c r="E274" s="2945">
        <v>68.209999999999994</v>
      </c>
      <c r="F274" s="2947" t="s">
        <v>3132</v>
      </c>
    </row>
    <row r="275" spans="1:6" ht="14.25">
      <c r="A275" s="2945">
        <v>273</v>
      </c>
      <c r="B275" s="2947" t="s">
        <v>3069</v>
      </c>
      <c r="C275" s="2945" t="s">
        <v>70</v>
      </c>
      <c r="D275" s="2945" t="s">
        <v>3197</v>
      </c>
      <c r="E275" s="2945">
        <v>68.209999999999994</v>
      </c>
      <c r="F275" s="2947" t="s">
        <v>3132</v>
      </c>
    </row>
    <row r="276" spans="1:6" ht="14.25">
      <c r="A276" s="2945">
        <v>274</v>
      </c>
      <c r="B276" s="2947" t="s">
        <v>3069</v>
      </c>
      <c r="C276" s="2945" t="s">
        <v>70</v>
      </c>
      <c r="D276" s="2945" t="s">
        <v>3198</v>
      </c>
      <c r="E276" s="2945">
        <v>68.209999999999994</v>
      </c>
      <c r="F276" s="2947" t="s">
        <v>3132</v>
      </c>
    </row>
    <row r="277" spans="1:6" ht="14.25">
      <c r="A277" s="2945">
        <v>275</v>
      </c>
      <c r="B277" s="2947" t="s">
        <v>3069</v>
      </c>
      <c r="C277" s="2945" t="s">
        <v>70</v>
      </c>
      <c r="D277" s="2945" t="s">
        <v>3199</v>
      </c>
      <c r="E277" s="2945">
        <v>68.209999999999994</v>
      </c>
      <c r="F277" s="2947" t="s">
        <v>3132</v>
      </c>
    </row>
    <row r="278" spans="1:6" ht="14.25">
      <c r="A278" s="2945">
        <v>276</v>
      </c>
      <c r="B278" s="2947" t="s">
        <v>3069</v>
      </c>
      <c r="C278" s="2945" t="s">
        <v>70</v>
      </c>
      <c r="D278" s="2945" t="s">
        <v>3200</v>
      </c>
      <c r="E278" s="2945">
        <v>68.209999999999994</v>
      </c>
      <c r="F278" s="2947" t="s">
        <v>3132</v>
      </c>
    </row>
    <row r="279" spans="1:6" ht="14.25">
      <c r="A279" s="2945">
        <v>277</v>
      </c>
      <c r="B279" s="2947" t="s">
        <v>3069</v>
      </c>
      <c r="C279" s="2945" t="s">
        <v>70</v>
      </c>
      <c r="D279" s="2945" t="s">
        <v>3201</v>
      </c>
      <c r="E279" s="2945">
        <v>68.209999999999994</v>
      </c>
      <c r="F279" s="2947" t="s">
        <v>3132</v>
      </c>
    </row>
    <row r="280" spans="1:6" ht="14.25">
      <c r="A280" s="2945">
        <v>278</v>
      </c>
      <c r="B280" s="2947" t="s">
        <v>3069</v>
      </c>
      <c r="C280" s="2945" t="s">
        <v>70</v>
      </c>
      <c r="D280" s="2945" t="s">
        <v>3202</v>
      </c>
      <c r="E280" s="2945">
        <v>68.209999999999994</v>
      </c>
      <c r="F280" s="2947" t="s">
        <v>3132</v>
      </c>
    </row>
    <row r="281" spans="1:6" ht="14.25">
      <c r="A281" s="2945">
        <v>279</v>
      </c>
      <c r="B281" s="2947" t="s">
        <v>3069</v>
      </c>
      <c r="C281" s="2945" t="s">
        <v>70</v>
      </c>
      <c r="D281" s="2945" t="s">
        <v>3203</v>
      </c>
      <c r="E281" s="2945">
        <v>68.209999999999994</v>
      </c>
      <c r="F281" s="2947" t="s">
        <v>3132</v>
      </c>
    </row>
    <row r="282" spans="1:6" ht="14.25">
      <c r="A282" s="2945">
        <v>280</v>
      </c>
      <c r="B282" s="2947" t="s">
        <v>3069</v>
      </c>
      <c r="C282" s="2945" t="s">
        <v>70</v>
      </c>
      <c r="D282" s="2945" t="s">
        <v>3204</v>
      </c>
      <c r="E282" s="2945">
        <v>68.209999999999994</v>
      </c>
      <c r="F282" s="2947" t="s">
        <v>3132</v>
      </c>
    </row>
    <row r="283" spans="1:6" ht="14.25">
      <c r="A283" s="2945">
        <v>281</v>
      </c>
      <c r="B283" s="2947" t="s">
        <v>3069</v>
      </c>
      <c r="C283" s="2945" t="s">
        <v>70</v>
      </c>
      <c r="D283" s="2945" t="s">
        <v>3205</v>
      </c>
      <c r="E283" s="2945">
        <v>68.209999999999994</v>
      </c>
      <c r="F283" s="2947" t="s">
        <v>3132</v>
      </c>
    </row>
    <row r="284" spans="1:6" ht="14.25">
      <c r="A284" s="2945">
        <v>282</v>
      </c>
      <c r="B284" s="2947" t="s">
        <v>3069</v>
      </c>
      <c r="C284" s="2945" t="s">
        <v>70</v>
      </c>
      <c r="D284" s="2945" t="s">
        <v>3206</v>
      </c>
      <c r="E284" s="2945">
        <v>68.209999999999994</v>
      </c>
      <c r="F284" s="2947" t="s">
        <v>3132</v>
      </c>
    </row>
    <row r="285" spans="1:6" ht="14.25">
      <c r="A285" s="2945">
        <v>283</v>
      </c>
      <c r="B285" s="2947" t="s">
        <v>3069</v>
      </c>
      <c r="C285" s="2945" t="s">
        <v>70</v>
      </c>
      <c r="D285" s="2945" t="s">
        <v>3207</v>
      </c>
      <c r="E285" s="2945">
        <v>68.209999999999994</v>
      </c>
      <c r="F285" s="2947" t="s">
        <v>3132</v>
      </c>
    </row>
    <row r="286" spans="1:6" ht="14.25">
      <c r="A286" s="2945">
        <v>284</v>
      </c>
      <c r="B286" s="2947" t="s">
        <v>3069</v>
      </c>
      <c r="C286" s="2945" t="s">
        <v>70</v>
      </c>
      <c r="D286" s="2945" t="s">
        <v>3208</v>
      </c>
      <c r="E286" s="2945">
        <v>68.209999999999994</v>
      </c>
      <c r="F286" s="2947" t="s">
        <v>3132</v>
      </c>
    </row>
    <row r="287" spans="1:6" ht="14.25">
      <c r="A287" s="2945">
        <v>285</v>
      </c>
      <c r="B287" s="2947" t="s">
        <v>3069</v>
      </c>
      <c r="C287" s="2945" t="s">
        <v>70</v>
      </c>
      <c r="D287" s="2945" t="s">
        <v>3209</v>
      </c>
      <c r="E287" s="2945">
        <v>68.209999999999994</v>
      </c>
      <c r="F287" s="2947" t="s">
        <v>3132</v>
      </c>
    </row>
    <row r="288" spans="1:6" ht="14.25">
      <c r="A288" s="2945">
        <v>286</v>
      </c>
      <c r="B288" s="2947" t="s">
        <v>3069</v>
      </c>
      <c r="C288" s="2945" t="s">
        <v>70</v>
      </c>
      <c r="D288" s="2945" t="s">
        <v>3210</v>
      </c>
      <c r="E288" s="2945">
        <v>68.209999999999994</v>
      </c>
      <c r="F288" s="2947" t="s">
        <v>3132</v>
      </c>
    </row>
    <row r="289" spans="1:6" ht="14.25">
      <c r="A289" s="2945">
        <v>287</v>
      </c>
      <c r="B289" s="2947" t="s">
        <v>3069</v>
      </c>
      <c r="C289" s="2945" t="s">
        <v>70</v>
      </c>
      <c r="D289" s="2945" t="s">
        <v>3211</v>
      </c>
      <c r="E289" s="2945">
        <v>68.209999999999994</v>
      </c>
      <c r="F289" s="2947" t="s">
        <v>3132</v>
      </c>
    </row>
    <row r="290" spans="1:6" ht="14.25">
      <c r="A290" s="2945">
        <v>288</v>
      </c>
      <c r="B290" s="2947" t="s">
        <v>3069</v>
      </c>
      <c r="C290" s="2945" t="s">
        <v>70</v>
      </c>
      <c r="D290" s="2945" t="s">
        <v>3212</v>
      </c>
      <c r="E290" s="2945">
        <v>68.209999999999994</v>
      </c>
      <c r="F290" s="2947" t="s">
        <v>3132</v>
      </c>
    </row>
    <row r="291" spans="1:6" ht="14.25">
      <c r="A291" s="2945">
        <v>289</v>
      </c>
      <c r="B291" s="2947" t="s">
        <v>3069</v>
      </c>
      <c r="C291" s="2945" t="s">
        <v>70</v>
      </c>
      <c r="D291" s="2945" t="s">
        <v>3213</v>
      </c>
      <c r="E291" s="2945">
        <v>68.209999999999994</v>
      </c>
      <c r="F291" s="2947" t="s">
        <v>3132</v>
      </c>
    </row>
    <row r="292" spans="1:6" ht="14.25">
      <c r="A292" s="2945">
        <v>290</v>
      </c>
      <c r="B292" s="2947" t="s">
        <v>3069</v>
      </c>
      <c r="C292" s="2945" t="s">
        <v>70</v>
      </c>
      <c r="D292" s="2945" t="s">
        <v>3214</v>
      </c>
      <c r="E292" s="2945">
        <v>68.209999999999994</v>
      </c>
      <c r="F292" s="2947" t="s">
        <v>3132</v>
      </c>
    </row>
    <row r="293" spans="1:6" ht="14.25">
      <c r="A293" s="2945">
        <v>291</v>
      </c>
      <c r="B293" s="2947" t="s">
        <v>3069</v>
      </c>
      <c r="C293" s="2945" t="s">
        <v>70</v>
      </c>
      <c r="D293" s="2945" t="s">
        <v>3215</v>
      </c>
      <c r="E293" s="2945">
        <v>68.209999999999994</v>
      </c>
      <c r="F293" s="2947" t="s">
        <v>3132</v>
      </c>
    </row>
    <row r="294" spans="1:6" ht="14.25">
      <c r="A294" s="2945">
        <v>292</v>
      </c>
      <c r="B294" s="2947" t="s">
        <v>3069</v>
      </c>
      <c r="C294" s="2945" t="s">
        <v>70</v>
      </c>
      <c r="D294" s="2945" t="s">
        <v>3216</v>
      </c>
      <c r="E294" s="2945">
        <v>68.209999999999994</v>
      </c>
      <c r="F294" s="2947" t="s">
        <v>3132</v>
      </c>
    </row>
    <row r="295" spans="1:6" ht="14.25">
      <c r="A295" s="2945">
        <v>293</v>
      </c>
      <c r="B295" s="2947" t="s">
        <v>3069</v>
      </c>
      <c r="C295" s="2945" t="s">
        <v>70</v>
      </c>
      <c r="D295" s="2945" t="s">
        <v>3217</v>
      </c>
      <c r="E295" s="2945">
        <v>68.209999999999994</v>
      </c>
      <c r="F295" s="2947" t="s">
        <v>3132</v>
      </c>
    </row>
    <row r="296" spans="1:6" ht="14.25">
      <c r="A296" s="2945">
        <v>294</v>
      </c>
      <c r="B296" s="2947" t="s">
        <v>3069</v>
      </c>
      <c r="C296" s="2945" t="s">
        <v>70</v>
      </c>
      <c r="D296" s="2945" t="s">
        <v>3218</v>
      </c>
      <c r="E296" s="2945">
        <v>68.209999999999994</v>
      </c>
      <c r="F296" s="2947" t="s">
        <v>3132</v>
      </c>
    </row>
    <row r="297" spans="1:6" ht="14.25">
      <c r="A297" s="2945">
        <v>295</v>
      </c>
      <c r="B297" s="2947" t="s">
        <v>3069</v>
      </c>
      <c r="C297" s="2945" t="s">
        <v>70</v>
      </c>
      <c r="D297" s="2945" t="s">
        <v>3219</v>
      </c>
      <c r="E297" s="2945">
        <v>68.209999999999994</v>
      </c>
      <c r="F297" s="2947" t="s">
        <v>3132</v>
      </c>
    </row>
    <row r="298" spans="1:6" ht="14.25">
      <c r="A298" s="2945">
        <v>296</v>
      </c>
      <c r="B298" s="2947" t="s">
        <v>3069</v>
      </c>
      <c r="C298" s="2945" t="s">
        <v>70</v>
      </c>
      <c r="D298" s="2945" t="s">
        <v>3220</v>
      </c>
      <c r="E298" s="2945">
        <v>68.209999999999994</v>
      </c>
      <c r="F298" s="2947" t="s">
        <v>3132</v>
      </c>
    </row>
    <row r="299" spans="1:6" ht="14.25">
      <c r="A299" s="2945">
        <v>297</v>
      </c>
      <c r="B299" s="2947" t="s">
        <v>3069</v>
      </c>
      <c r="C299" s="2945" t="s">
        <v>70</v>
      </c>
      <c r="D299" s="2945" t="s">
        <v>3221</v>
      </c>
      <c r="E299" s="2945">
        <v>68.209999999999994</v>
      </c>
      <c r="F299" s="2947" t="s">
        <v>3132</v>
      </c>
    </row>
    <row r="300" spans="1:6" ht="14.25">
      <c r="A300" s="2945">
        <v>298</v>
      </c>
      <c r="B300" s="2947" t="s">
        <v>3069</v>
      </c>
      <c r="C300" s="2945" t="s">
        <v>70</v>
      </c>
      <c r="D300" s="2945" t="s">
        <v>3222</v>
      </c>
      <c r="E300" s="2945">
        <v>68.209999999999994</v>
      </c>
      <c r="F300" s="2947" t="s">
        <v>3132</v>
      </c>
    </row>
    <row r="301" spans="1:6" ht="14.25">
      <c r="A301" s="2945">
        <v>299</v>
      </c>
      <c r="B301" s="2947" t="s">
        <v>3069</v>
      </c>
      <c r="C301" s="2945" t="s">
        <v>70</v>
      </c>
      <c r="D301" s="2945" t="s">
        <v>3223</v>
      </c>
      <c r="E301" s="2945">
        <v>68.209999999999994</v>
      </c>
      <c r="F301" s="2947" t="s">
        <v>3132</v>
      </c>
    </row>
    <row r="302" spans="1:6" ht="14.25">
      <c r="A302" s="2945">
        <v>300</v>
      </c>
      <c r="B302" s="2947" t="s">
        <v>3069</v>
      </c>
      <c r="C302" s="2945" t="s">
        <v>70</v>
      </c>
      <c r="D302" s="2945" t="s">
        <v>3224</v>
      </c>
      <c r="E302" s="2945">
        <v>68.209999999999994</v>
      </c>
      <c r="F302" s="2947" t="s">
        <v>3132</v>
      </c>
    </row>
    <row r="303" spans="1:6" ht="14.25">
      <c r="A303" s="2945">
        <v>301</v>
      </c>
      <c r="B303" s="2947" t="s">
        <v>3069</v>
      </c>
      <c r="C303" s="2945" t="s">
        <v>70</v>
      </c>
      <c r="D303" s="2945" t="s">
        <v>3225</v>
      </c>
      <c r="E303" s="2945">
        <v>68.209999999999994</v>
      </c>
      <c r="F303" s="2947" t="s">
        <v>3132</v>
      </c>
    </row>
    <row r="304" spans="1:6" ht="14.25">
      <c r="A304" s="2945">
        <v>302</v>
      </c>
      <c r="B304" s="2947" t="s">
        <v>3069</v>
      </c>
      <c r="C304" s="2945" t="s">
        <v>70</v>
      </c>
      <c r="D304" s="2945" t="s">
        <v>3226</v>
      </c>
      <c r="E304" s="2945">
        <v>52.62</v>
      </c>
      <c r="F304" s="2947" t="s">
        <v>3132</v>
      </c>
    </row>
    <row r="305" spans="1:6" ht="14.25">
      <c r="A305" s="2945">
        <v>303</v>
      </c>
      <c r="B305" s="2947" t="s">
        <v>3069</v>
      </c>
      <c r="C305" s="2945" t="s">
        <v>70</v>
      </c>
      <c r="D305" s="2945" t="s">
        <v>3227</v>
      </c>
      <c r="E305" s="2945">
        <v>52.62</v>
      </c>
      <c r="F305" s="2947" t="s">
        <v>3132</v>
      </c>
    </row>
    <row r="306" spans="1:6" ht="14.25">
      <c r="A306" s="2945">
        <v>304</v>
      </c>
      <c r="B306" s="2947" t="s">
        <v>3069</v>
      </c>
      <c r="C306" s="2945" t="s">
        <v>70</v>
      </c>
      <c r="D306" s="2945" t="s">
        <v>3228</v>
      </c>
      <c r="E306" s="2945">
        <v>68.209999999999994</v>
      </c>
      <c r="F306" s="2947" t="s">
        <v>3132</v>
      </c>
    </row>
    <row r="307" spans="1:6" ht="14.25">
      <c r="A307" s="2945">
        <v>305</v>
      </c>
      <c r="B307" s="2947" t="s">
        <v>3069</v>
      </c>
      <c r="C307" s="2945" t="s">
        <v>70</v>
      </c>
      <c r="D307" s="2945" t="s">
        <v>3229</v>
      </c>
      <c r="E307" s="2945">
        <v>68.209999999999994</v>
      </c>
      <c r="F307" s="2947" t="s">
        <v>3132</v>
      </c>
    </row>
    <row r="308" spans="1:6" ht="14.25">
      <c r="A308" s="2945">
        <v>306</v>
      </c>
      <c r="B308" s="2947" t="s">
        <v>3069</v>
      </c>
      <c r="C308" s="2945" t="s">
        <v>70</v>
      </c>
      <c r="D308" s="2945" t="s">
        <v>3230</v>
      </c>
      <c r="E308" s="2945">
        <v>68.209999999999994</v>
      </c>
      <c r="F308" s="2947" t="s">
        <v>3132</v>
      </c>
    </row>
    <row r="309" spans="1:6" ht="14.25">
      <c r="A309" s="2945">
        <v>307</v>
      </c>
      <c r="B309" s="2947" t="s">
        <v>3069</v>
      </c>
      <c r="C309" s="2945" t="s">
        <v>70</v>
      </c>
      <c r="D309" s="2945" t="s">
        <v>3231</v>
      </c>
      <c r="E309" s="2945">
        <v>35.729999999999997</v>
      </c>
      <c r="F309" s="2947" t="s">
        <v>3132</v>
      </c>
    </row>
    <row r="310" spans="1:6" ht="14.25">
      <c r="A310" s="2945">
        <v>308</v>
      </c>
      <c r="B310" s="2947" t="s">
        <v>3069</v>
      </c>
      <c r="C310" s="2945" t="s">
        <v>70</v>
      </c>
      <c r="D310" s="2945" t="s">
        <v>3232</v>
      </c>
      <c r="E310" s="2945">
        <v>35.729999999999997</v>
      </c>
      <c r="F310" s="2947" t="s">
        <v>3132</v>
      </c>
    </row>
    <row r="311" spans="1:6" ht="14.25">
      <c r="A311" s="2945">
        <v>309</v>
      </c>
      <c r="B311" s="2947" t="s">
        <v>3069</v>
      </c>
      <c r="C311" s="2945" t="s">
        <v>70</v>
      </c>
      <c r="D311" s="2945" t="s">
        <v>3233</v>
      </c>
      <c r="E311" s="2945">
        <v>68.209999999999994</v>
      </c>
      <c r="F311" s="2947" t="s">
        <v>3132</v>
      </c>
    </row>
    <row r="312" spans="1:6" ht="14.25">
      <c r="A312" s="2945">
        <v>310</v>
      </c>
      <c r="B312" s="2947" t="s">
        <v>3069</v>
      </c>
      <c r="C312" s="2945" t="s">
        <v>70</v>
      </c>
      <c r="D312" s="2945" t="s">
        <v>3234</v>
      </c>
      <c r="E312" s="2945">
        <v>68.209999999999994</v>
      </c>
      <c r="F312" s="2947" t="s">
        <v>3132</v>
      </c>
    </row>
    <row r="313" spans="1:6" ht="14.25">
      <c r="A313" s="2945">
        <v>311</v>
      </c>
      <c r="B313" s="2947" t="s">
        <v>3069</v>
      </c>
      <c r="C313" s="2945" t="s">
        <v>70</v>
      </c>
      <c r="D313" s="2945" t="s">
        <v>3235</v>
      </c>
      <c r="E313" s="2945">
        <v>68.209999999999994</v>
      </c>
      <c r="F313" s="2947" t="s">
        <v>3132</v>
      </c>
    </row>
    <row r="314" spans="1:6" ht="14.25">
      <c r="A314" s="2945">
        <v>312</v>
      </c>
      <c r="B314" s="2947" t="s">
        <v>3069</v>
      </c>
      <c r="C314" s="2945" t="s">
        <v>70</v>
      </c>
      <c r="D314" s="2945" t="s">
        <v>3236</v>
      </c>
      <c r="E314" s="2945">
        <v>35.729999999999997</v>
      </c>
      <c r="F314" s="2947" t="s">
        <v>3132</v>
      </c>
    </row>
    <row r="315" spans="1:6" ht="14.25">
      <c r="A315" s="2945">
        <v>313</v>
      </c>
      <c r="B315" s="2947" t="s">
        <v>3069</v>
      </c>
      <c r="C315" s="2945" t="s">
        <v>70</v>
      </c>
      <c r="D315" s="2945" t="s">
        <v>3237</v>
      </c>
      <c r="E315" s="2945">
        <v>35.729999999999997</v>
      </c>
      <c r="F315" s="2947" t="s">
        <v>3132</v>
      </c>
    </row>
    <row r="316" spans="1:6" ht="14.25">
      <c r="A316" s="2945">
        <v>314</v>
      </c>
      <c r="B316" s="2947" t="s">
        <v>3069</v>
      </c>
      <c r="C316" s="2945" t="s">
        <v>70</v>
      </c>
      <c r="D316" s="2945" t="s">
        <v>3238</v>
      </c>
      <c r="E316" s="2945">
        <v>68.209999999999994</v>
      </c>
      <c r="F316" s="2947" t="s">
        <v>3132</v>
      </c>
    </row>
    <row r="317" spans="1:6" ht="14.25">
      <c r="A317" s="2945">
        <v>315</v>
      </c>
      <c r="B317" s="2947" t="s">
        <v>3069</v>
      </c>
      <c r="C317" s="2945" t="s">
        <v>70</v>
      </c>
      <c r="D317" s="2945" t="s">
        <v>3239</v>
      </c>
      <c r="E317" s="2945">
        <v>122.77</v>
      </c>
      <c r="F317" s="2947" t="s">
        <v>3132</v>
      </c>
    </row>
    <row r="318" spans="1:6" ht="14.25">
      <c r="A318" s="2945">
        <v>316</v>
      </c>
      <c r="B318" s="2947" t="s">
        <v>3069</v>
      </c>
      <c r="C318" s="2945" t="s">
        <v>70</v>
      </c>
      <c r="D318" s="2945" t="s">
        <v>3240</v>
      </c>
      <c r="E318" s="2945">
        <v>68.209999999999994</v>
      </c>
      <c r="F318" s="2947" t="s">
        <v>3132</v>
      </c>
    </row>
    <row r="319" spans="1:6" ht="14.25">
      <c r="A319" s="2945">
        <v>317</v>
      </c>
      <c r="B319" s="2947" t="s">
        <v>3069</v>
      </c>
      <c r="C319" s="2945" t="s">
        <v>70</v>
      </c>
      <c r="D319" s="2945" t="s">
        <v>3241</v>
      </c>
      <c r="E319" s="2945">
        <v>35.729999999999997</v>
      </c>
      <c r="F319" s="2947" t="s">
        <v>3132</v>
      </c>
    </row>
    <row r="320" spans="1:6" ht="14.25">
      <c r="A320" s="2945">
        <v>318</v>
      </c>
      <c r="B320" s="2947" t="s">
        <v>3069</v>
      </c>
      <c r="C320" s="2945" t="s">
        <v>70</v>
      </c>
      <c r="D320" s="2945" t="s">
        <v>3242</v>
      </c>
      <c r="E320" s="2945">
        <v>35.729999999999997</v>
      </c>
      <c r="F320" s="2947" t="s">
        <v>3132</v>
      </c>
    </row>
    <row r="321" spans="1:6" ht="14.25">
      <c r="A321" s="2945">
        <v>319</v>
      </c>
      <c r="B321" s="2947" t="s">
        <v>3069</v>
      </c>
      <c r="C321" s="2945" t="s">
        <v>70</v>
      </c>
      <c r="D321" s="2945" t="s">
        <v>3243</v>
      </c>
      <c r="E321" s="2945">
        <v>68.209999999999994</v>
      </c>
      <c r="F321" s="2947" t="s">
        <v>3132</v>
      </c>
    </row>
    <row r="322" spans="1:6" ht="14.25">
      <c r="A322" s="2945">
        <v>320</v>
      </c>
      <c r="B322" s="2947" t="s">
        <v>3069</v>
      </c>
      <c r="C322" s="2945" t="s">
        <v>70</v>
      </c>
      <c r="D322" s="2945" t="s">
        <v>3244</v>
      </c>
      <c r="E322" s="2945">
        <v>52.62</v>
      </c>
      <c r="F322" s="2947" t="s">
        <v>3132</v>
      </c>
    </row>
    <row r="323" spans="1:6" ht="14.25">
      <c r="A323" s="2945">
        <v>321</v>
      </c>
      <c r="B323" s="2947" t="s">
        <v>3069</v>
      </c>
      <c r="C323" s="2945" t="s">
        <v>70</v>
      </c>
      <c r="D323" s="2945" t="s">
        <v>3245</v>
      </c>
      <c r="E323" s="2945">
        <v>52.62</v>
      </c>
      <c r="F323" s="2947" t="s">
        <v>3132</v>
      </c>
    </row>
    <row r="324" spans="1:6" ht="14.25">
      <c r="A324" s="2945">
        <v>322</v>
      </c>
      <c r="B324" s="2947" t="s">
        <v>3069</v>
      </c>
      <c r="C324" s="2945" t="s">
        <v>70</v>
      </c>
      <c r="D324" s="2945" t="s">
        <v>3246</v>
      </c>
      <c r="E324" s="2945">
        <v>68.209999999999994</v>
      </c>
      <c r="F324" s="2947" t="s">
        <v>3132</v>
      </c>
    </row>
    <row r="325" spans="1:6" ht="14.25">
      <c r="A325" s="2945">
        <v>323</v>
      </c>
      <c r="B325" s="2947" t="s">
        <v>3069</v>
      </c>
      <c r="C325" s="2945" t="s">
        <v>70</v>
      </c>
      <c r="D325" s="2945" t="s">
        <v>3247</v>
      </c>
      <c r="E325" s="2945">
        <v>68.209999999999994</v>
      </c>
      <c r="F325" s="2947" t="s">
        <v>3132</v>
      </c>
    </row>
    <row r="326" spans="1:6" ht="14.25">
      <c r="A326" s="2945">
        <v>324</v>
      </c>
      <c r="B326" s="2947" t="s">
        <v>3069</v>
      </c>
      <c r="C326" s="2945" t="s">
        <v>70</v>
      </c>
      <c r="D326" s="2945" t="s">
        <v>3248</v>
      </c>
      <c r="E326" s="2945">
        <v>68.209999999999994</v>
      </c>
      <c r="F326" s="2947" t="s">
        <v>3132</v>
      </c>
    </row>
    <row r="327" spans="1:6" ht="14.25">
      <c r="A327" s="2945">
        <v>325</v>
      </c>
      <c r="B327" s="2957" t="s">
        <v>3069</v>
      </c>
      <c r="C327" s="2953" t="s">
        <v>70</v>
      </c>
      <c r="D327" s="2953" t="s">
        <v>3249</v>
      </c>
      <c r="E327" s="2953">
        <v>68.209999999999994</v>
      </c>
      <c r="F327" s="2957" t="s">
        <v>3132</v>
      </c>
    </row>
    <row r="328" spans="1:6" ht="14.25">
      <c r="A328" s="2945">
        <v>326</v>
      </c>
      <c r="B328" s="2947" t="s">
        <v>3069</v>
      </c>
      <c r="C328" s="2945" t="s">
        <v>70</v>
      </c>
      <c r="D328" s="2945" t="s">
        <v>3250</v>
      </c>
      <c r="E328" s="2945">
        <v>68.209999999999994</v>
      </c>
      <c r="F328" s="2947" t="s">
        <v>3132</v>
      </c>
    </row>
    <row r="329" spans="1:6" ht="14.25">
      <c r="A329" s="2945">
        <v>327</v>
      </c>
      <c r="B329" s="2947" t="s">
        <v>3069</v>
      </c>
      <c r="C329" s="2945" t="s">
        <v>70</v>
      </c>
      <c r="D329" s="2945" t="s">
        <v>3251</v>
      </c>
      <c r="E329" s="2945">
        <v>68.209999999999994</v>
      </c>
      <c r="F329" s="2947" t="s">
        <v>3132</v>
      </c>
    </row>
    <row r="330" spans="1:6" ht="14.25">
      <c r="A330" s="2945">
        <v>328</v>
      </c>
      <c r="B330" s="2947" t="s">
        <v>3069</v>
      </c>
      <c r="C330" s="2945" t="s">
        <v>70</v>
      </c>
      <c r="D330" s="2945" t="s">
        <v>3252</v>
      </c>
      <c r="E330" s="2945">
        <v>68.209999999999994</v>
      </c>
      <c r="F330" s="2947" t="s">
        <v>3132</v>
      </c>
    </row>
    <row r="331" spans="1:6" ht="14.25">
      <c r="A331" s="2945">
        <v>329</v>
      </c>
      <c r="B331" s="2947" t="s">
        <v>3069</v>
      </c>
      <c r="C331" s="2945" t="s">
        <v>70</v>
      </c>
      <c r="D331" s="2945" t="s">
        <v>3253</v>
      </c>
      <c r="E331" s="2945">
        <v>68.209999999999994</v>
      </c>
      <c r="F331" s="2947" t="s">
        <v>3132</v>
      </c>
    </row>
    <row r="332" spans="1:6" ht="14.25">
      <c r="A332" s="2945">
        <v>330</v>
      </c>
      <c r="B332" s="2947" t="s">
        <v>3069</v>
      </c>
      <c r="C332" s="2945" t="s">
        <v>70</v>
      </c>
      <c r="D332" s="2945" t="s">
        <v>3254</v>
      </c>
      <c r="E332" s="2945">
        <v>68.209999999999994</v>
      </c>
      <c r="F332" s="2947" t="s">
        <v>3132</v>
      </c>
    </row>
    <row r="333" spans="1:6" ht="14.25">
      <c r="A333" s="2945">
        <v>331</v>
      </c>
      <c r="B333" s="2947" t="s">
        <v>3069</v>
      </c>
      <c r="C333" s="2945" t="s">
        <v>70</v>
      </c>
      <c r="D333" s="2945" t="s">
        <v>3255</v>
      </c>
      <c r="E333" s="2945">
        <v>68.209999999999994</v>
      </c>
      <c r="F333" s="2947" t="s">
        <v>3132</v>
      </c>
    </row>
    <row r="334" spans="1:6" ht="14.25">
      <c r="A334" s="2945">
        <v>332</v>
      </c>
      <c r="B334" s="2947" t="s">
        <v>3069</v>
      </c>
      <c r="C334" s="2945" t="s">
        <v>70</v>
      </c>
      <c r="D334" s="2945" t="s">
        <v>3256</v>
      </c>
      <c r="E334" s="2945">
        <v>58.46</v>
      </c>
      <c r="F334" s="2947" t="s">
        <v>3132</v>
      </c>
    </row>
    <row r="335" spans="1:6" ht="14.25">
      <c r="A335" s="2945">
        <v>333</v>
      </c>
      <c r="B335" s="2947" t="s">
        <v>3069</v>
      </c>
      <c r="C335" s="2945" t="s">
        <v>70</v>
      </c>
      <c r="D335" s="2945" t="s">
        <v>3257</v>
      </c>
      <c r="E335" s="2945">
        <v>58.46</v>
      </c>
      <c r="F335" s="2947" t="s">
        <v>3132</v>
      </c>
    </row>
    <row r="336" spans="1:6" ht="14.25">
      <c r="A336" s="2945">
        <v>334</v>
      </c>
      <c r="B336" s="2947" t="s">
        <v>3069</v>
      </c>
      <c r="C336" s="2945" t="s">
        <v>70</v>
      </c>
      <c r="D336" s="2945" t="s">
        <v>3258</v>
      </c>
      <c r="E336" s="2945">
        <v>68.209999999999994</v>
      </c>
      <c r="F336" s="2947" t="s">
        <v>3132</v>
      </c>
    </row>
    <row r="337" spans="1:6" ht="14.25">
      <c r="A337" s="2945">
        <v>335</v>
      </c>
      <c r="B337" s="2947" t="s">
        <v>3069</v>
      </c>
      <c r="C337" s="2945" t="s">
        <v>70</v>
      </c>
      <c r="D337" s="2945" t="s">
        <v>3259</v>
      </c>
      <c r="E337" s="2945">
        <v>68.209999999999994</v>
      </c>
      <c r="F337" s="2947" t="s">
        <v>3132</v>
      </c>
    </row>
    <row r="338" spans="1:6" ht="14.25">
      <c r="A338" s="2945">
        <v>336</v>
      </c>
      <c r="B338" s="2947" t="s">
        <v>3069</v>
      </c>
      <c r="C338" s="2945" t="s">
        <v>70</v>
      </c>
      <c r="D338" s="2945" t="s">
        <v>3260</v>
      </c>
      <c r="E338" s="2945">
        <v>68.209999999999994</v>
      </c>
      <c r="F338" s="2947" t="s">
        <v>3132</v>
      </c>
    </row>
    <row r="339" spans="1:6" ht="14.25">
      <c r="A339" s="2945">
        <v>337</v>
      </c>
      <c r="B339" s="2947" t="s">
        <v>3069</v>
      </c>
      <c r="C339" s="2945" t="s">
        <v>70</v>
      </c>
      <c r="D339" s="2945" t="s">
        <v>3261</v>
      </c>
      <c r="E339" s="2945">
        <v>68.209999999999994</v>
      </c>
      <c r="F339" s="2947" t="s">
        <v>3132</v>
      </c>
    </row>
    <row r="340" spans="1:6" ht="14.25">
      <c r="A340" s="2945">
        <v>338</v>
      </c>
      <c r="B340" s="2947" t="s">
        <v>3069</v>
      </c>
      <c r="C340" s="2945" t="s">
        <v>70</v>
      </c>
      <c r="D340" s="2945" t="s">
        <v>3262</v>
      </c>
      <c r="E340" s="2945">
        <v>68.209999999999994</v>
      </c>
      <c r="F340" s="2947" t="s">
        <v>3132</v>
      </c>
    </row>
    <row r="341" spans="1:6" ht="14.25">
      <c r="A341" s="2945">
        <v>339</v>
      </c>
      <c r="B341" s="2947" t="s">
        <v>3069</v>
      </c>
      <c r="C341" s="2945" t="s">
        <v>70</v>
      </c>
      <c r="D341" s="2945" t="s">
        <v>3263</v>
      </c>
      <c r="E341" s="2945">
        <v>68.209999999999994</v>
      </c>
      <c r="F341" s="2947" t="s">
        <v>3132</v>
      </c>
    </row>
    <row r="342" spans="1:6" ht="14.25">
      <c r="A342" s="2945">
        <v>340</v>
      </c>
      <c r="B342" s="2947" t="s">
        <v>3069</v>
      </c>
      <c r="C342" s="2945" t="s">
        <v>70</v>
      </c>
      <c r="D342" s="2945" t="s">
        <v>3264</v>
      </c>
      <c r="E342" s="2945">
        <v>68.209999999999994</v>
      </c>
      <c r="F342" s="2947" t="s">
        <v>3132</v>
      </c>
    </row>
    <row r="343" spans="1:6" ht="14.25">
      <c r="A343" s="2945">
        <v>341</v>
      </c>
      <c r="B343" s="2947" t="s">
        <v>3069</v>
      </c>
      <c r="C343" s="2945" t="s">
        <v>70</v>
      </c>
      <c r="D343" s="2945" t="s">
        <v>3265</v>
      </c>
      <c r="E343" s="2945">
        <v>68.209999999999994</v>
      </c>
      <c r="F343" s="2947" t="s">
        <v>3132</v>
      </c>
    </row>
    <row r="344" spans="1:6" ht="14.25">
      <c r="A344" s="2945">
        <v>342</v>
      </c>
      <c r="B344" s="2947" t="s">
        <v>3069</v>
      </c>
      <c r="C344" s="2945" t="s">
        <v>70</v>
      </c>
      <c r="D344" s="2945" t="s">
        <v>3266</v>
      </c>
      <c r="E344" s="2945">
        <v>68.209999999999994</v>
      </c>
      <c r="F344" s="2947" t="s">
        <v>3132</v>
      </c>
    </row>
    <row r="345" spans="1:6" ht="14.25">
      <c r="A345" s="2945">
        <v>343</v>
      </c>
      <c r="B345" s="2947" t="s">
        <v>3069</v>
      </c>
      <c r="C345" s="2945" t="s">
        <v>70</v>
      </c>
      <c r="D345" s="2945" t="s">
        <v>3267</v>
      </c>
      <c r="E345" s="2945">
        <v>52.62</v>
      </c>
      <c r="F345" s="2947" t="s">
        <v>3132</v>
      </c>
    </row>
    <row r="346" spans="1:6" ht="14.25">
      <c r="A346" s="2945">
        <v>344</v>
      </c>
      <c r="B346" s="2947" t="s">
        <v>3069</v>
      </c>
      <c r="C346" s="2945" t="s">
        <v>70</v>
      </c>
      <c r="D346" s="2945" t="s">
        <v>3268</v>
      </c>
      <c r="E346" s="2945">
        <v>68.209999999999994</v>
      </c>
      <c r="F346" s="2947" t="s">
        <v>3132</v>
      </c>
    </row>
    <row r="347" spans="1:6" ht="14.25">
      <c r="A347" s="2945">
        <v>345</v>
      </c>
      <c r="B347" s="2947" t="s">
        <v>3069</v>
      </c>
      <c r="C347" s="2945" t="s">
        <v>70</v>
      </c>
      <c r="D347" s="2945" t="s">
        <v>3269</v>
      </c>
      <c r="E347" s="2945">
        <v>68.209999999999994</v>
      </c>
      <c r="F347" s="2947" t="s">
        <v>3132</v>
      </c>
    </row>
    <row r="348" spans="1:6" ht="14.25">
      <c r="A348" s="2945">
        <v>346</v>
      </c>
      <c r="B348" s="2947" t="s">
        <v>3069</v>
      </c>
      <c r="C348" s="2945" t="s">
        <v>70</v>
      </c>
      <c r="D348" s="2945" t="s">
        <v>3270</v>
      </c>
      <c r="E348" s="2945">
        <v>68.209999999999994</v>
      </c>
      <c r="F348" s="2947" t="s">
        <v>3132</v>
      </c>
    </row>
    <row r="349" spans="1:6" ht="14.25">
      <c r="A349" s="2945">
        <v>347</v>
      </c>
      <c r="B349" s="2947" t="s">
        <v>3069</v>
      </c>
      <c r="C349" s="2945" t="s">
        <v>70</v>
      </c>
      <c r="D349" s="2945" t="s">
        <v>3271</v>
      </c>
      <c r="E349" s="2945">
        <v>136.41</v>
      </c>
      <c r="F349" s="2947" t="s">
        <v>3132</v>
      </c>
    </row>
    <row r="350" spans="1:6" ht="14.25">
      <c r="A350" s="2945">
        <v>348</v>
      </c>
      <c r="B350" s="2947" t="s">
        <v>3069</v>
      </c>
      <c r="C350" s="2945" t="s">
        <v>70</v>
      </c>
      <c r="D350" s="2945" t="s">
        <v>3272</v>
      </c>
      <c r="E350" s="2945">
        <v>68.209999999999994</v>
      </c>
      <c r="F350" s="2947" t="s">
        <v>3132</v>
      </c>
    </row>
    <row r="351" spans="1:6" ht="14.25">
      <c r="A351" s="2945">
        <v>349</v>
      </c>
      <c r="B351" s="2947" t="s">
        <v>3069</v>
      </c>
      <c r="C351" s="2945" t="s">
        <v>70</v>
      </c>
      <c r="D351" s="2945" t="s">
        <v>3273</v>
      </c>
      <c r="E351" s="2945">
        <v>68.209999999999994</v>
      </c>
      <c r="F351" s="2947" t="s">
        <v>3132</v>
      </c>
    </row>
    <row r="352" spans="1:6" ht="14.25">
      <c r="A352" s="2945">
        <v>350</v>
      </c>
      <c r="B352" s="2947" t="s">
        <v>3069</v>
      </c>
      <c r="C352" s="2945" t="s">
        <v>70</v>
      </c>
      <c r="D352" s="2945" t="s">
        <v>3274</v>
      </c>
      <c r="E352" s="2945">
        <v>52.62</v>
      </c>
      <c r="F352" s="2947" t="s">
        <v>3132</v>
      </c>
    </row>
    <row r="353" spans="1:6" ht="14.25">
      <c r="A353" s="2945">
        <v>351</v>
      </c>
      <c r="B353" s="2947" t="s">
        <v>3069</v>
      </c>
      <c r="C353" s="2945" t="s">
        <v>70</v>
      </c>
      <c r="D353" s="2945" t="s">
        <v>3275</v>
      </c>
      <c r="E353" s="2945">
        <v>52.62</v>
      </c>
      <c r="F353" s="2947" t="s">
        <v>3132</v>
      </c>
    </row>
    <row r="354" spans="1:6" ht="14.25">
      <c r="A354" s="2945">
        <v>352</v>
      </c>
      <c r="B354" s="2947" t="s">
        <v>3069</v>
      </c>
      <c r="C354" s="2945" t="s">
        <v>70</v>
      </c>
      <c r="D354" s="2945" t="s">
        <v>3276</v>
      </c>
      <c r="E354" s="2945">
        <v>52.62</v>
      </c>
      <c r="F354" s="2947" t="s">
        <v>3132</v>
      </c>
    </row>
    <row r="355" spans="1:6" ht="14.25">
      <c r="A355" s="2945">
        <v>353</v>
      </c>
      <c r="B355" s="2947" t="s">
        <v>3069</v>
      </c>
      <c r="C355" s="2945" t="s">
        <v>70</v>
      </c>
      <c r="D355" s="2945" t="s">
        <v>3277</v>
      </c>
      <c r="E355" s="2945">
        <v>52.62</v>
      </c>
      <c r="F355" s="2947" t="s">
        <v>3132</v>
      </c>
    </row>
    <row r="356" spans="1:6" ht="14.25">
      <c r="A356" s="2945">
        <v>354</v>
      </c>
      <c r="B356" s="2947" t="s">
        <v>3069</v>
      </c>
      <c r="C356" s="2945" t="s">
        <v>70</v>
      </c>
      <c r="D356" s="2945" t="s">
        <v>3278</v>
      </c>
      <c r="E356" s="2945">
        <v>68.209999999999994</v>
      </c>
      <c r="F356" s="2947" t="s">
        <v>3132</v>
      </c>
    </row>
    <row r="357" spans="1:6" ht="14.25">
      <c r="A357" s="2945">
        <v>355</v>
      </c>
      <c r="B357" s="2947" t="s">
        <v>3069</v>
      </c>
      <c r="C357" s="2945" t="s">
        <v>70</v>
      </c>
      <c r="D357" s="2945" t="s">
        <v>3279</v>
      </c>
      <c r="E357" s="2945">
        <v>68.209999999999994</v>
      </c>
      <c r="F357" s="2947" t="s">
        <v>3132</v>
      </c>
    </row>
    <row r="358" spans="1:6" ht="14.25">
      <c r="A358" s="2945">
        <v>356</v>
      </c>
      <c r="B358" s="2947" t="s">
        <v>3069</v>
      </c>
      <c r="C358" s="2945" t="s">
        <v>70</v>
      </c>
      <c r="D358" s="2945" t="s">
        <v>3280</v>
      </c>
      <c r="E358" s="2945">
        <v>68.209999999999994</v>
      </c>
      <c r="F358" s="2947" t="s">
        <v>3132</v>
      </c>
    </row>
    <row r="359" spans="1:6" ht="14.25">
      <c r="A359" s="2945">
        <v>357</v>
      </c>
      <c r="B359" s="2947" t="s">
        <v>3069</v>
      </c>
      <c r="C359" s="2945" t="s">
        <v>70</v>
      </c>
      <c r="D359" s="2945" t="s">
        <v>3281</v>
      </c>
      <c r="E359" s="2945">
        <v>68.209999999999994</v>
      </c>
      <c r="F359" s="2947" t="s">
        <v>3132</v>
      </c>
    </row>
    <row r="360" spans="1:6" ht="14.25">
      <c r="A360" s="2945">
        <v>358</v>
      </c>
      <c r="B360" s="2947" t="s">
        <v>3069</v>
      </c>
      <c r="C360" s="2945" t="s">
        <v>70</v>
      </c>
      <c r="D360" s="2945" t="s">
        <v>3282</v>
      </c>
      <c r="E360" s="2945">
        <v>68.209999999999994</v>
      </c>
      <c r="F360" s="2947" t="s">
        <v>3132</v>
      </c>
    </row>
    <row r="361" spans="1:6" ht="14.25">
      <c r="A361" s="2945">
        <v>359</v>
      </c>
      <c r="B361" s="2947" t="s">
        <v>3069</v>
      </c>
      <c r="C361" s="2945" t="s">
        <v>70</v>
      </c>
      <c r="D361" s="2945" t="s">
        <v>3283</v>
      </c>
      <c r="E361" s="2945">
        <v>68.209999999999994</v>
      </c>
      <c r="F361" s="2947" t="s">
        <v>3132</v>
      </c>
    </row>
    <row r="362" spans="1:6" ht="14.25">
      <c r="A362" s="2945">
        <v>360</v>
      </c>
      <c r="B362" s="2947" t="s">
        <v>3069</v>
      </c>
      <c r="C362" s="2945" t="s">
        <v>70</v>
      </c>
      <c r="D362" s="2945" t="s">
        <v>3284</v>
      </c>
      <c r="E362" s="2945">
        <v>68.209999999999994</v>
      </c>
      <c r="F362" s="2947" t="s">
        <v>3132</v>
      </c>
    </row>
    <row r="363" spans="1:6" ht="14.25">
      <c r="A363" s="2945">
        <v>361</v>
      </c>
      <c r="B363" s="2947" t="s">
        <v>3069</v>
      </c>
      <c r="C363" s="2945" t="s">
        <v>70</v>
      </c>
      <c r="D363" s="2945" t="s">
        <v>3285</v>
      </c>
      <c r="E363" s="2945">
        <v>68.209999999999994</v>
      </c>
      <c r="F363" s="2947" t="s">
        <v>3132</v>
      </c>
    </row>
    <row r="364" spans="1:6" ht="14.25">
      <c r="A364" s="2945">
        <v>362</v>
      </c>
      <c r="B364" s="2947" t="s">
        <v>3069</v>
      </c>
      <c r="C364" s="2945" t="s">
        <v>70</v>
      </c>
      <c r="D364" s="2945" t="s">
        <v>3286</v>
      </c>
      <c r="E364" s="2945">
        <v>68.209999999999994</v>
      </c>
      <c r="F364" s="2947" t="s">
        <v>3132</v>
      </c>
    </row>
    <row r="365" spans="1:6" ht="14.25">
      <c r="A365" s="2945">
        <v>363</v>
      </c>
      <c r="B365" s="2947" t="s">
        <v>3069</v>
      </c>
      <c r="C365" s="2945" t="s">
        <v>70</v>
      </c>
      <c r="D365" s="2945" t="s">
        <v>3287</v>
      </c>
      <c r="E365" s="2945">
        <v>52.62</v>
      </c>
      <c r="F365" s="2947" t="s">
        <v>3132</v>
      </c>
    </row>
    <row r="366" spans="1:6" ht="14.25">
      <c r="A366" s="2945">
        <v>364</v>
      </c>
      <c r="B366" s="2947" t="s">
        <v>3069</v>
      </c>
      <c r="C366" s="2945" t="s">
        <v>70</v>
      </c>
      <c r="D366" s="2945" t="s">
        <v>3288</v>
      </c>
      <c r="E366" s="2945">
        <v>52.62</v>
      </c>
      <c r="F366" s="2947" t="s">
        <v>3132</v>
      </c>
    </row>
    <row r="367" spans="1:6" ht="14.25">
      <c r="A367" s="2945">
        <v>365</v>
      </c>
      <c r="B367" s="2947" t="s">
        <v>3069</v>
      </c>
      <c r="C367" s="2945" t="s">
        <v>70</v>
      </c>
      <c r="D367" s="2945" t="s">
        <v>3289</v>
      </c>
      <c r="E367" s="2945">
        <v>68.209999999999994</v>
      </c>
      <c r="F367" s="2947" t="s">
        <v>3132</v>
      </c>
    </row>
    <row r="368" spans="1:6" ht="14.25">
      <c r="A368" s="2945">
        <v>366</v>
      </c>
      <c r="B368" s="2947" t="s">
        <v>3069</v>
      </c>
      <c r="C368" s="2945" t="s">
        <v>70</v>
      </c>
      <c r="D368" s="2945" t="s">
        <v>3290</v>
      </c>
      <c r="E368" s="2945">
        <v>68.209999999999994</v>
      </c>
      <c r="F368" s="2947" t="s">
        <v>3132</v>
      </c>
    </row>
    <row r="369" spans="1:6" ht="14.25">
      <c r="A369" s="2945">
        <v>367</v>
      </c>
      <c r="B369" s="2947" t="s">
        <v>3069</v>
      </c>
      <c r="C369" s="2945" t="s">
        <v>70</v>
      </c>
      <c r="D369" s="2945" t="s">
        <v>3291</v>
      </c>
      <c r="E369" s="2945">
        <v>68.209999999999994</v>
      </c>
      <c r="F369" s="2947" t="s">
        <v>3132</v>
      </c>
    </row>
    <row r="370" spans="1:6" ht="14.25">
      <c r="A370" s="2945">
        <v>368</v>
      </c>
      <c r="B370" s="2947" t="s">
        <v>3069</v>
      </c>
      <c r="C370" s="2945" t="s">
        <v>70</v>
      </c>
      <c r="D370" s="2945" t="s">
        <v>3292</v>
      </c>
      <c r="E370" s="2945">
        <v>68.209999999999994</v>
      </c>
      <c r="F370" s="2947" t="s">
        <v>3132</v>
      </c>
    </row>
    <row r="371" spans="1:6" ht="14.25">
      <c r="A371" s="2945">
        <v>369</v>
      </c>
      <c r="B371" s="2947" t="s">
        <v>3069</v>
      </c>
      <c r="C371" s="2945" t="s">
        <v>70</v>
      </c>
      <c r="D371" s="2945" t="s">
        <v>3293</v>
      </c>
      <c r="E371" s="2945">
        <v>68.209999999999994</v>
      </c>
      <c r="F371" s="2947" t="s">
        <v>3132</v>
      </c>
    </row>
    <row r="372" spans="1:6" ht="14.25">
      <c r="A372" s="2945">
        <v>370</v>
      </c>
      <c r="B372" s="2947" t="s">
        <v>3069</v>
      </c>
      <c r="C372" s="2945" t="s">
        <v>70</v>
      </c>
      <c r="D372" s="2945" t="s">
        <v>3294</v>
      </c>
      <c r="E372" s="2945">
        <v>68.209999999999994</v>
      </c>
      <c r="F372" s="2947" t="s">
        <v>3132</v>
      </c>
    </row>
    <row r="373" spans="1:6" ht="14.25">
      <c r="A373" s="2945">
        <v>371</v>
      </c>
      <c r="B373" s="2947" t="s">
        <v>3069</v>
      </c>
      <c r="C373" s="2945" t="s">
        <v>70</v>
      </c>
      <c r="D373" s="2945" t="s">
        <v>3295</v>
      </c>
      <c r="E373" s="2945">
        <v>35.729999999999997</v>
      </c>
      <c r="F373" s="2947" t="s">
        <v>3132</v>
      </c>
    </row>
    <row r="374" spans="1:6" ht="14.25">
      <c r="A374" s="2945">
        <v>372</v>
      </c>
      <c r="B374" s="2947" t="s">
        <v>3069</v>
      </c>
      <c r="C374" s="2945" t="s">
        <v>70</v>
      </c>
      <c r="D374" s="2945" t="s">
        <v>3296</v>
      </c>
      <c r="E374" s="2945">
        <v>35.729999999999997</v>
      </c>
      <c r="F374" s="2947" t="s">
        <v>3132</v>
      </c>
    </row>
    <row r="375" spans="1:6" ht="14.25">
      <c r="A375" s="2945">
        <v>373</v>
      </c>
      <c r="B375" s="2947" t="s">
        <v>3069</v>
      </c>
      <c r="C375" s="2945" t="s">
        <v>70</v>
      </c>
      <c r="D375" s="2945" t="s">
        <v>3297</v>
      </c>
      <c r="E375" s="2945">
        <v>52.62</v>
      </c>
      <c r="F375" s="2947" t="s">
        <v>3132</v>
      </c>
    </row>
    <row r="376" spans="1:6" ht="14.25">
      <c r="A376" s="2945">
        <v>374</v>
      </c>
      <c r="B376" s="2947" t="s">
        <v>3069</v>
      </c>
      <c r="C376" s="2945" t="s">
        <v>70</v>
      </c>
      <c r="D376" s="2945" t="s">
        <v>3298</v>
      </c>
      <c r="E376" s="2945">
        <v>68.209999999999994</v>
      </c>
      <c r="F376" s="2947" t="s">
        <v>3132</v>
      </c>
    </row>
    <row r="377" spans="1:6" ht="14.25">
      <c r="A377" s="2945">
        <v>375</v>
      </c>
      <c r="B377" s="2947" t="s">
        <v>3069</v>
      </c>
      <c r="C377" s="2945" t="s">
        <v>70</v>
      </c>
      <c r="D377" s="2945" t="s">
        <v>3299</v>
      </c>
      <c r="E377" s="2945">
        <v>35.729999999999997</v>
      </c>
      <c r="F377" s="2947" t="s">
        <v>3132</v>
      </c>
    </row>
    <row r="378" spans="1:6" ht="14.25">
      <c r="A378" s="2945">
        <v>376</v>
      </c>
      <c r="B378" s="2947" t="s">
        <v>3069</v>
      </c>
      <c r="C378" s="2945" t="s">
        <v>70</v>
      </c>
      <c r="D378" s="2945" t="s">
        <v>3300</v>
      </c>
      <c r="E378" s="2945">
        <v>68.209999999999994</v>
      </c>
      <c r="F378" s="2947" t="s">
        <v>3132</v>
      </c>
    </row>
    <row r="379" spans="1:6" ht="14.25">
      <c r="A379" s="2945">
        <v>377</v>
      </c>
      <c r="B379" s="2947" t="s">
        <v>3069</v>
      </c>
      <c r="C379" s="2945" t="s">
        <v>70</v>
      </c>
      <c r="D379" s="2945" t="s">
        <v>3301</v>
      </c>
      <c r="E379" s="2945">
        <v>68.209999999999994</v>
      </c>
      <c r="F379" s="2947" t="s">
        <v>3132</v>
      </c>
    </row>
    <row r="380" spans="1:6" ht="14.25">
      <c r="A380" s="2945">
        <v>378</v>
      </c>
      <c r="B380" s="2947" t="s">
        <v>3069</v>
      </c>
      <c r="C380" s="2945" t="s">
        <v>70</v>
      </c>
      <c r="D380" s="2945" t="s">
        <v>3302</v>
      </c>
      <c r="E380" s="2945">
        <v>68.209999999999994</v>
      </c>
      <c r="F380" s="2947" t="s">
        <v>3132</v>
      </c>
    </row>
    <row r="381" spans="1:6" ht="14.25">
      <c r="A381" s="2945">
        <v>379</v>
      </c>
      <c r="B381" s="2947" t="s">
        <v>3069</v>
      </c>
      <c r="C381" s="2945" t="s">
        <v>70</v>
      </c>
      <c r="D381" s="2945" t="s">
        <v>3303</v>
      </c>
      <c r="E381" s="2945">
        <v>68.209999999999994</v>
      </c>
      <c r="F381" s="2947" t="s">
        <v>3132</v>
      </c>
    </row>
    <row r="382" spans="1:6" ht="14.25">
      <c r="A382" s="2945">
        <v>380</v>
      </c>
      <c r="B382" s="2947" t="s">
        <v>3069</v>
      </c>
      <c r="C382" s="2945" t="s">
        <v>70</v>
      </c>
      <c r="D382" s="2945" t="s">
        <v>3304</v>
      </c>
      <c r="E382" s="2945">
        <v>68.209999999999994</v>
      </c>
      <c r="F382" s="2947" t="s">
        <v>3132</v>
      </c>
    </row>
    <row r="383" spans="1:6" ht="14.25">
      <c r="A383" s="2945">
        <v>381</v>
      </c>
      <c r="B383" s="2947" t="s">
        <v>3069</v>
      </c>
      <c r="C383" s="2945" t="s">
        <v>70</v>
      </c>
      <c r="D383" s="2945" t="s">
        <v>3305</v>
      </c>
      <c r="E383" s="2945">
        <v>68.209999999999994</v>
      </c>
      <c r="F383" s="2947" t="s">
        <v>3132</v>
      </c>
    </row>
    <row r="384" spans="1:6" ht="14.25">
      <c r="A384" s="2945">
        <v>382</v>
      </c>
      <c r="B384" s="2947" t="s">
        <v>3069</v>
      </c>
      <c r="C384" s="2945" t="s">
        <v>70</v>
      </c>
      <c r="D384" s="2945" t="s">
        <v>3306</v>
      </c>
      <c r="E384" s="2945">
        <v>68.209999999999994</v>
      </c>
      <c r="F384" s="2947" t="s">
        <v>3132</v>
      </c>
    </row>
    <row r="385" spans="1:6" ht="14.25">
      <c r="A385" s="2945">
        <v>383</v>
      </c>
      <c r="B385" s="2947" t="s">
        <v>3069</v>
      </c>
      <c r="C385" s="2945" t="s">
        <v>70</v>
      </c>
      <c r="D385" s="2945" t="s">
        <v>3307</v>
      </c>
      <c r="E385" s="2945">
        <v>68.209999999999994</v>
      </c>
      <c r="F385" s="2947" t="s">
        <v>3132</v>
      </c>
    </row>
    <row r="386" spans="1:6" ht="14.25">
      <c r="A386" s="2945">
        <v>384</v>
      </c>
      <c r="B386" s="2947" t="s">
        <v>3069</v>
      </c>
      <c r="C386" s="2945" t="s">
        <v>70</v>
      </c>
      <c r="D386" s="2945" t="s">
        <v>3308</v>
      </c>
      <c r="E386" s="2945">
        <v>68.209999999999994</v>
      </c>
      <c r="F386" s="2947" t="s">
        <v>3132</v>
      </c>
    </row>
    <row r="387" spans="1:6" ht="14.25">
      <c r="A387" s="2945">
        <v>385</v>
      </c>
      <c r="B387" s="2947" t="s">
        <v>3069</v>
      </c>
      <c r="C387" s="2945" t="s">
        <v>70</v>
      </c>
      <c r="D387" s="2945" t="s">
        <v>3309</v>
      </c>
      <c r="E387" s="2945">
        <v>68.209999999999994</v>
      </c>
      <c r="F387" s="2947" t="s">
        <v>3132</v>
      </c>
    </row>
    <row r="388" spans="1:6" ht="14.25">
      <c r="A388" s="2945">
        <v>386</v>
      </c>
      <c r="B388" s="2947" t="s">
        <v>3069</v>
      </c>
      <c r="C388" s="2945" t="s">
        <v>70</v>
      </c>
      <c r="D388" s="2945" t="s">
        <v>3310</v>
      </c>
      <c r="E388" s="2945">
        <v>68.209999999999994</v>
      </c>
      <c r="F388" s="2947" t="s">
        <v>3132</v>
      </c>
    </row>
    <row r="389" spans="1:6" ht="14.25">
      <c r="A389" s="2945">
        <v>387</v>
      </c>
      <c r="B389" s="2947" t="s">
        <v>3069</v>
      </c>
      <c r="C389" s="2945" t="s">
        <v>70</v>
      </c>
      <c r="D389" s="2945" t="s">
        <v>3311</v>
      </c>
      <c r="E389" s="2945">
        <v>52.62</v>
      </c>
      <c r="F389" s="2947" t="s">
        <v>3132</v>
      </c>
    </row>
    <row r="390" spans="1:6" ht="14.25">
      <c r="A390" s="2945">
        <v>388</v>
      </c>
      <c r="B390" s="2947" t="s">
        <v>3069</v>
      </c>
      <c r="C390" s="2945" t="s">
        <v>70</v>
      </c>
      <c r="D390" s="2945" t="s">
        <v>3312</v>
      </c>
      <c r="E390" s="2945">
        <v>136.41</v>
      </c>
      <c r="F390" s="2947" t="s">
        <v>3132</v>
      </c>
    </row>
    <row r="391" spans="1:6" ht="14.25">
      <c r="A391" s="2945">
        <v>389</v>
      </c>
      <c r="B391" s="2947" t="s">
        <v>3069</v>
      </c>
      <c r="C391" s="2945" t="s">
        <v>70</v>
      </c>
      <c r="D391" s="2945" t="s">
        <v>3313</v>
      </c>
      <c r="E391" s="2945">
        <v>136.41</v>
      </c>
      <c r="F391" s="2947" t="s">
        <v>3132</v>
      </c>
    </row>
    <row r="392" spans="1:6" ht="14.25">
      <c r="A392" s="2945">
        <v>390</v>
      </c>
      <c r="B392" s="2947" t="s">
        <v>3069</v>
      </c>
      <c r="C392" s="2945" t="s">
        <v>70</v>
      </c>
      <c r="D392" s="2945" t="s">
        <v>3314</v>
      </c>
      <c r="E392" s="2945">
        <v>136.41</v>
      </c>
      <c r="F392" s="2947" t="s">
        <v>3132</v>
      </c>
    </row>
    <row r="393" spans="1:6" ht="14.25">
      <c r="A393" s="2945">
        <v>391</v>
      </c>
      <c r="B393" s="2947" t="s">
        <v>3069</v>
      </c>
      <c r="C393" s="2945" t="s">
        <v>70</v>
      </c>
      <c r="D393" s="2945" t="s">
        <v>3315</v>
      </c>
      <c r="E393" s="2945">
        <v>136.41</v>
      </c>
      <c r="F393" s="2947" t="s">
        <v>3132</v>
      </c>
    </row>
    <row r="394" spans="1:6" ht="14.25">
      <c r="A394" s="2945">
        <v>392</v>
      </c>
      <c r="B394" s="2947" t="s">
        <v>3069</v>
      </c>
      <c r="C394" s="2945" t="s">
        <v>70</v>
      </c>
      <c r="D394" s="2945" t="s">
        <v>3316</v>
      </c>
      <c r="E394" s="2945">
        <v>136.41</v>
      </c>
      <c r="F394" s="2947" t="s">
        <v>3132</v>
      </c>
    </row>
    <row r="395" spans="1:6" ht="14.25">
      <c r="A395" s="2945">
        <v>393</v>
      </c>
      <c r="B395" s="2947" t="s">
        <v>3069</v>
      </c>
      <c r="C395" s="2945" t="s">
        <v>70</v>
      </c>
      <c r="D395" s="2945" t="s">
        <v>3317</v>
      </c>
      <c r="E395" s="2945">
        <v>136.41</v>
      </c>
      <c r="F395" s="2947" t="s">
        <v>3132</v>
      </c>
    </row>
    <row r="396" spans="1:6" ht="14.25">
      <c r="A396" s="2945">
        <v>394</v>
      </c>
      <c r="B396" s="2947" t="s">
        <v>3069</v>
      </c>
      <c r="C396" s="2945" t="s">
        <v>70</v>
      </c>
      <c r="D396" s="2945" t="s">
        <v>3318</v>
      </c>
      <c r="E396" s="2945">
        <v>68.209999999999994</v>
      </c>
      <c r="F396" s="2947" t="s">
        <v>3132</v>
      </c>
    </row>
    <row r="397" spans="1:6" ht="14.25">
      <c r="A397" s="2945">
        <v>395</v>
      </c>
      <c r="B397" s="2947" t="s">
        <v>3069</v>
      </c>
      <c r="C397" s="2945" t="s">
        <v>70</v>
      </c>
      <c r="D397" s="2945" t="s">
        <v>3319</v>
      </c>
      <c r="E397" s="2945">
        <v>136.41</v>
      </c>
      <c r="F397" s="2947" t="s">
        <v>3132</v>
      </c>
    </row>
    <row r="398" spans="1:6" ht="14.25">
      <c r="A398" s="2945">
        <v>396</v>
      </c>
      <c r="B398" s="2947" t="s">
        <v>3069</v>
      </c>
      <c r="C398" s="2945" t="s">
        <v>70</v>
      </c>
      <c r="D398" s="2945" t="s">
        <v>3320</v>
      </c>
      <c r="E398" s="2945">
        <v>52.66</v>
      </c>
      <c r="F398" s="2947" t="s">
        <v>3132</v>
      </c>
    </row>
    <row r="399" spans="1:6" ht="14.25">
      <c r="A399" s="2945">
        <v>397</v>
      </c>
      <c r="B399" s="2947" t="s">
        <v>3069</v>
      </c>
      <c r="C399" s="2945" t="s">
        <v>70</v>
      </c>
      <c r="D399" s="2945" t="s">
        <v>3321</v>
      </c>
      <c r="E399" s="2945">
        <v>118.26</v>
      </c>
      <c r="F399" s="2947" t="s">
        <v>3132</v>
      </c>
    </row>
    <row r="400" spans="1:6" ht="14.25">
      <c r="A400" s="2945">
        <v>398</v>
      </c>
      <c r="B400" s="2947" t="s">
        <v>3069</v>
      </c>
      <c r="C400" s="2945" t="s">
        <v>70</v>
      </c>
      <c r="D400" s="2945" t="s">
        <v>3322</v>
      </c>
      <c r="E400" s="2945">
        <v>68.209999999999994</v>
      </c>
      <c r="F400" s="2947" t="s">
        <v>3132</v>
      </c>
    </row>
    <row r="401" spans="1:6" ht="14.25">
      <c r="A401" s="2945">
        <v>399</v>
      </c>
      <c r="B401" s="2947" t="s">
        <v>3069</v>
      </c>
      <c r="C401" s="2945" t="s">
        <v>70</v>
      </c>
      <c r="D401" s="2945" t="s">
        <v>3323</v>
      </c>
      <c r="E401" s="2945">
        <v>68.209999999999994</v>
      </c>
      <c r="F401" s="2947" t="s">
        <v>3132</v>
      </c>
    </row>
    <row r="402" spans="1:6" ht="14.25">
      <c r="A402" s="2945">
        <v>400</v>
      </c>
      <c r="B402" s="2947" t="s">
        <v>3069</v>
      </c>
      <c r="C402" s="2945" t="s">
        <v>70</v>
      </c>
      <c r="D402" s="2945" t="s">
        <v>3324</v>
      </c>
      <c r="E402" s="2945">
        <v>68.209999999999994</v>
      </c>
      <c r="F402" s="2947" t="s">
        <v>3132</v>
      </c>
    </row>
    <row r="403" spans="1:6" ht="14.25">
      <c r="A403" s="2945">
        <v>401</v>
      </c>
      <c r="B403" s="2947" t="s">
        <v>3069</v>
      </c>
      <c r="C403" s="2945" t="s">
        <v>70</v>
      </c>
      <c r="D403" s="2945" t="s">
        <v>3325</v>
      </c>
      <c r="E403" s="2945">
        <v>137.66999999999999</v>
      </c>
      <c r="F403" s="2947" t="s">
        <v>3132</v>
      </c>
    </row>
    <row r="404" spans="1:6" ht="14.25">
      <c r="A404" s="2945">
        <v>402</v>
      </c>
      <c r="B404" s="2947" t="s">
        <v>3069</v>
      </c>
      <c r="C404" s="2945" t="s">
        <v>70</v>
      </c>
      <c r="D404" s="2945" t="s">
        <v>3326</v>
      </c>
      <c r="E404" s="2945">
        <v>68.209999999999994</v>
      </c>
      <c r="F404" s="2947" t="s">
        <v>3132</v>
      </c>
    </row>
    <row r="405" spans="1:6" ht="14.25">
      <c r="A405" s="2945">
        <v>403</v>
      </c>
      <c r="B405" s="2947" t="s">
        <v>3069</v>
      </c>
      <c r="C405" s="2945" t="s">
        <v>70</v>
      </c>
      <c r="D405" s="2945" t="s">
        <v>3327</v>
      </c>
      <c r="E405" s="2945">
        <v>137.66999999999999</v>
      </c>
      <c r="F405" s="2947" t="s">
        <v>3132</v>
      </c>
    </row>
    <row r="406" spans="1:6" ht="14.25">
      <c r="A406" s="2945">
        <v>404</v>
      </c>
      <c r="B406" s="2947" t="s">
        <v>3069</v>
      </c>
      <c r="C406" s="2945" t="s">
        <v>70</v>
      </c>
      <c r="D406" s="2945" t="s">
        <v>3328</v>
      </c>
      <c r="E406" s="2945">
        <v>68.209999999999994</v>
      </c>
      <c r="F406" s="2947" t="s">
        <v>3132</v>
      </c>
    </row>
    <row r="407" spans="1:6" ht="14.25">
      <c r="A407" s="2945">
        <v>405</v>
      </c>
      <c r="B407" s="2947" t="s">
        <v>3069</v>
      </c>
      <c r="C407" s="2945" t="s">
        <v>70</v>
      </c>
      <c r="D407" s="2945" t="s">
        <v>3329</v>
      </c>
      <c r="E407" s="2945">
        <v>68.209999999999994</v>
      </c>
      <c r="F407" s="2947" t="s">
        <v>3132</v>
      </c>
    </row>
    <row r="408" spans="1:6" ht="14.25">
      <c r="A408" s="2945">
        <v>406</v>
      </c>
      <c r="B408" s="2947" t="s">
        <v>3069</v>
      </c>
      <c r="C408" s="2945" t="s">
        <v>70</v>
      </c>
      <c r="D408" s="2945" t="s">
        <v>3330</v>
      </c>
      <c r="E408" s="2945">
        <v>125.98</v>
      </c>
      <c r="F408" s="2947" t="s">
        <v>3132</v>
      </c>
    </row>
    <row r="409" spans="1:6" ht="14.25">
      <c r="A409" s="2945">
        <v>407</v>
      </c>
      <c r="B409" s="2947" t="s">
        <v>3069</v>
      </c>
      <c r="C409" s="2945" t="s">
        <v>70</v>
      </c>
      <c r="D409" s="2945" t="s">
        <v>3331</v>
      </c>
      <c r="E409" s="2945">
        <v>68.209999999999994</v>
      </c>
      <c r="F409" s="2947" t="s">
        <v>3132</v>
      </c>
    </row>
    <row r="410" spans="1:6" ht="14.25">
      <c r="A410" s="2945">
        <v>408</v>
      </c>
      <c r="B410" s="2947" t="s">
        <v>3069</v>
      </c>
      <c r="C410" s="2945" t="s">
        <v>70</v>
      </c>
      <c r="D410" s="2945" t="s">
        <v>3332</v>
      </c>
      <c r="E410" s="2945">
        <v>127.89</v>
      </c>
      <c r="F410" s="2947" t="s">
        <v>3132</v>
      </c>
    </row>
    <row r="411" spans="1:6" ht="14.25">
      <c r="A411" s="2945">
        <v>409</v>
      </c>
      <c r="B411" s="2947" t="s">
        <v>3069</v>
      </c>
      <c r="C411" s="2945" t="s">
        <v>70</v>
      </c>
      <c r="D411" s="2945" t="s">
        <v>3333</v>
      </c>
      <c r="E411" s="2945">
        <v>68.209999999999994</v>
      </c>
      <c r="F411" s="2947" t="s">
        <v>3132</v>
      </c>
    </row>
    <row r="412" spans="1:6" ht="14.25">
      <c r="A412" s="2945">
        <v>410</v>
      </c>
      <c r="B412" s="2947" t="s">
        <v>3069</v>
      </c>
      <c r="C412" s="2945" t="s">
        <v>70</v>
      </c>
      <c r="D412" s="2945" t="s">
        <v>3334</v>
      </c>
      <c r="E412" s="2945">
        <v>68.209999999999994</v>
      </c>
      <c r="F412" s="2947" t="s">
        <v>3132</v>
      </c>
    </row>
    <row r="413" spans="1:6" ht="14.25">
      <c r="A413" s="2945">
        <v>411</v>
      </c>
      <c r="B413" s="2947" t="s">
        <v>3069</v>
      </c>
      <c r="C413" s="2945" t="s">
        <v>70</v>
      </c>
      <c r="D413" s="2945" t="s">
        <v>3335</v>
      </c>
      <c r="E413" s="2945">
        <v>68.209999999999994</v>
      </c>
      <c r="F413" s="2947" t="s">
        <v>3132</v>
      </c>
    </row>
    <row r="414" spans="1:6" ht="14.25">
      <c r="A414" s="2945">
        <v>412</v>
      </c>
      <c r="B414" s="2947" t="s">
        <v>3069</v>
      </c>
      <c r="C414" s="2945" t="s">
        <v>70</v>
      </c>
      <c r="D414" s="2945" t="s">
        <v>3336</v>
      </c>
      <c r="E414" s="2945">
        <v>52.09</v>
      </c>
      <c r="F414" s="2947" t="s">
        <v>3132</v>
      </c>
    </row>
    <row r="415" spans="1:6" ht="14.25">
      <c r="A415" s="2945">
        <v>413</v>
      </c>
      <c r="B415" s="2947" t="s">
        <v>3069</v>
      </c>
      <c r="C415" s="2945" t="s">
        <v>70</v>
      </c>
      <c r="D415" s="2945" t="s">
        <v>3337</v>
      </c>
      <c r="E415" s="2945">
        <v>52.09</v>
      </c>
      <c r="F415" s="2947" t="s">
        <v>3132</v>
      </c>
    </row>
    <row r="416" spans="1:6" ht="14.25">
      <c r="A416" s="2945">
        <v>414</v>
      </c>
      <c r="B416" s="2947" t="s">
        <v>3069</v>
      </c>
      <c r="C416" s="2945" t="s">
        <v>70</v>
      </c>
      <c r="D416" s="2945" t="s">
        <v>3338</v>
      </c>
      <c r="E416" s="2945">
        <v>52.62</v>
      </c>
      <c r="F416" s="2947" t="s">
        <v>3132</v>
      </c>
    </row>
    <row r="417" spans="1:6" ht="14.25">
      <c r="A417" s="2945">
        <v>415</v>
      </c>
      <c r="B417" s="2947" t="s">
        <v>3069</v>
      </c>
      <c r="C417" s="2945" t="s">
        <v>70</v>
      </c>
      <c r="D417" s="2945" t="s">
        <v>3339</v>
      </c>
      <c r="E417" s="2945">
        <v>52.62</v>
      </c>
      <c r="F417" s="2947" t="s">
        <v>3132</v>
      </c>
    </row>
    <row r="418" spans="1:6" ht="14.25">
      <c r="A418" s="2945">
        <v>416</v>
      </c>
      <c r="B418" s="2947" t="s">
        <v>3069</v>
      </c>
      <c r="C418" s="2945" t="s">
        <v>70</v>
      </c>
      <c r="D418" s="2945" t="s">
        <v>3340</v>
      </c>
      <c r="E418" s="2945">
        <v>48.23</v>
      </c>
      <c r="F418" s="2947" t="s">
        <v>3132</v>
      </c>
    </row>
    <row r="419" spans="1:6" ht="14.25">
      <c r="A419" s="2945">
        <v>417</v>
      </c>
      <c r="B419" s="2947" t="s">
        <v>3069</v>
      </c>
      <c r="C419" s="2945" t="s">
        <v>70</v>
      </c>
      <c r="D419" s="2945" t="s">
        <v>3341</v>
      </c>
      <c r="E419" s="2945">
        <v>68.209999999999994</v>
      </c>
      <c r="F419" s="2947" t="s">
        <v>3132</v>
      </c>
    </row>
    <row r="420" spans="1:6" ht="14.25">
      <c r="A420" s="2945">
        <v>418</v>
      </c>
      <c r="B420" s="2947" t="s">
        <v>3069</v>
      </c>
      <c r="C420" s="2945" t="s">
        <v>70</v>
      </c>
      <c r="D420" s="2945" t="s">
        <v>3342</v>
      </c>
      <c r="E420" s="2945">
        <v>68.209999999999994</v>
      </c>
      <c r="F420" s="2947" t="s">
        <v>3132</v>
      </c>
    </row>
    <row r="421" spans="1:6" ht="14.25">
      <c r="A421" s="2945">
        <v>419</v>
      </c>
      <c r="B421" s="2947" t="s">
        <v>3069</v>
      </c>
      <c r="C421" s="2945" t="s">
        <v>70</v>
      </c>
      <c r="D421" s="2945" t="s">
        <v>3343</v>
      </c>
      <c r="E421" s="2945">
        <v>68.209999999999994</v>
      </c>
      <c r="F421" s="2947" t="s">
        <v>3132</v>
      </c>
    </row>
    <row r="422" spans="1:6" ht="14.25">
      <c r="A422" s="2945">
        <v>420</v>
      </c>
      <c r="B422" s="2947" t="s">
        <v>3069</v>
      </c>
      <c r="C422" s="2945" t="s">
        <v>70</v>
      </c>
      <c r="D422" s="2945" t="s">
        <v>3344</v>
      </c>
      <c r="E422" s="2945">
        <v>68.209999999999994</v>
      </c>
      <c r="F422" s="2947" t="s">
        <v>3132</v>
      </c>
    </row>
    <row r="423" spans="1:6" ht="14.25">
      <c r="A423" s="2945">
        <v>421</v>
      </c>
      <c r="B423" s="2947" t="s">
        <v>3069</v>
      </c>
      <c r="C423" s="2945" t="s">
        <v>70</v>
      </c>
      <c r="D423" s="2945" t="s">
        <v>3345</v>
      </c>
      <c r="E423" s="2945">
        <v>68.209999999999994</v>
      </c>
      <c r="F423" s="2947" t="s">
        <v>3132</v>
      </c>
    </row>
    <row r="424" spans="1:6" ht="14.25">
      <c r="A424" s="2945">
        <v>422</v>
      </c>
      <c r="B424" s="2947" t="s">
        <v>3069</v>
      </c>
      <c r="C424" s="2945" t="s">
        <v>70</v>
      </c>
      <c r="D424" s="2945" t="s">
        <v>3346</v>
      </c>
      <c r="E424" s="2945">
        <v>68.209999999999994</v>
      </c>
      <c r="F424" s="2947" t="s">
        <v>3132</v>
      </c>
    </row>
    <row r="425" spans="1:6" ht="14.25">
      <c r="A425" s="2945">
        <v>423</v>
      </c>
      <c r="B425" s="2947" t="s">
        <v>3069</v>
      </c>
      <c r="C425" s="2945" t="s">
        <v>70</v>
      </c>
      <c r="D425" s="2945" t="s">
        <v>3347</v>
      </c>
      <c r="E425" s="2945">
        <v>68.209999999999994</v>
      </c>
      <c r="F425" s="2947" t="s">
        <v>3132</v>
      </c>
    </row>
    <row r="426" spans="1:6" ht="14.25">
      <c r="A426" s="2945">
        <v>424</v>
      </c>
      <c r="B426" s="2947" t="s">
        <v>3069</v>
      </c>
      <c r="C426" s="2945" t="s">
        <v>70</v>
      </c>
      <c r="D426" s="2945" t="s">
        <v>3348</v>
      </c>
      <c r="E426" s="2945">
        <v>68.209999999999994</v>
      </c>
      <c r="F426" s="2947" t="s">
        <v>3132</v>
      </c>
    </row>
    <row r="427" spans="1:6" ht="14.25">
      <c r="A427" s="2945">
        <v>425</v>
      </c>
      <c r="B427" s="2947" t="s">
        <v>3069</v>
      </c>
      <c r="C427" s="2945" t="s">
        <v>70</v>
      </c>
      <c r="D427" s="2945" t="s">
        <v>3349</v>
      </c>
      <c r="E427" s="2945">
        <v>68.209999999999994</v>
      </c>
      <c r="F427" s="2947" t="s">
        <v>3132</v>
      </c>
    </row>
    <row r="428" spans="1:6" ht="14.25">
      <c r="A428" s="2945">
        <v>426</v>
      </c>
      <c r="B428" s="2947" t="s">
        <v>3069</v>
      </c>
      <c r="C428" s="2945" t="s">
        <v>70</v>
      </c>
      <c r="D428" s="2945" t="s">
        <v>3350</v>
      </c>
      <c r="E428" s="2945">
        <v>68.209999999999994</v>
      </c>
      <c r="F428" s="2947" t="s">
        <v>3132</v>
      </c>
    </row>
    <row r="429" spans="1:6" ht="14.25">
      <c r="A429" s="2945">
        <v>427</v>
      </c>
      <c r="B429" s="2947" t="s">
        <v>3069</v>
      </c>
      <c r="C429" s="2945" t="s">
        <v>70</v>
      </c>
      <c r="D429" s="2945" t="s">
        <v>3351</v>
      </c>
      <c r="E429" s="2945">
        <v>68.209999999999994</v>
      </c>
      <c r="F429" s="2947" t="s">
        <v>3132</v>
      </c>
    </row>
    <row r="430" spans="1:6" ht="14.25">
      <c r="A430" s="2945">
        <v>428</v>
      </c>
      <c r="B430" s="2947" t="s">
        <v>3069</v>
      </c>
      <c r="C430" s="2945" t="s">
        <v>70</v>
      </c>
      <c r="D430" s="2945" t="s">
        <v>3352</v>
      </c>
      <c r="E430" s="2945">
        <v>68.209999999999994</v>
      </c>
      <c r="F430" s="2947" t="s">
        <v>3132</v>
      </c>
    </row>
    <row r="431" spans="1:6" ht="14.25">
      <c r="A431" s="2945">
        <v>429</v>
      </c>
      <c r="B431" s="2947" t="s">
        <v>3069</v>
      </c>
      <c r="C431" s="2945" t="s">
        <v>70</v>
      </c>
      <c r="D431" s="2945" t="s">
        <v>3353</v>
      </c>
      <c r="E431" s="2945">
        <v>68.209999999999994</v>
      </c>
      <c r="F431" s="2947" t="s">
        <v>3132</v>
      </c>
    </row>
    <row r="432" spans="1:6" ht="14.25">
      <c r="A432" s="2945">
        <v>430</v>
      </c>
      <c r="B432" s="2947" t="s">
        <v>3069</v>
      </c>
      <c r="C432" s="2945" t="s">
        <v>70</v>
      </c>
      <c r="D432" s="2945" t="s">
        <v>3354</v>
      </c>
      <c r="E432" s="2945">
        <v>68.209999999999994</v>
      </c>
      <c r="F432" s="2947" t="s">
        <v>3132</v>
      </c>
    </row>
    <row r="433" spans="1:6" ht="14.25">
      <c r="A433" s="2945">
        <v>431</v>
      </c>
      <c r="B433" s="2947" t="s">
        <v>3069</v>
      </c>
      <c r="C433" s="2945" t="s">
        <v>70</v>
      </c>
      <c r="D433" s="2945" t="s">
        <v>3355</v>
      </c>
      <c r="E433" s="2945">
        <v>68.209999999999994</v>
      </c>
      <c r="F433" s="2947" t="s">
        <v>3132</v>
      </c>
    </row>
    <row r="434" spans="1:6" ht="14.25">
      <c r="A434" s="2945">
        <v>432</v>
      </c>
      <c r="B434" s="2947" t="s">
        <v>3069</v>
      </c>
      <c r="C434" s="2945" t="s">
        <v>70</v>
      </c>
      <c r="D434" s="2945" t="s">
        <v>3356</v>
      </c>
      <c r="E434" s="2945">
        <v>68.209999999999994</v>
      </c>
      <c r="F434" s="2947" t="s">
        <v>3132</v>
      </c>
    </row>
    <row r="435" spans="1:6" ht="14.25">
      <c r="A435" s="2945">
        <v>433</v>
      </c>
      <c r="B435" s="2947" t="s">
        <v>3069</v>
      </c>
      <c r="C435" s="2945" t="s">
        <v>70</v>
      </c>
      <c r="D435" s="2945" t="s">
        <v>3357</v>
      </c>
      <c r="E435" s="2945">
        <v>68.209999999999994</v>
      </c>
      <c r="F435" s="2947" t="s">
        <v>3132</v>
      </c>
    </row>
    <row r="436" spans="1:6" ht="14.25">
      <c r="A436" s="2945">
        <v>434</v>
      </c>
      <c r="B436" s="2947" t="s">
        <v>3069</v>
      </c>
      <c r="C436" s="2945" t="s">
        <v>70</v>
      </c>
      <c r="D436" s="2945" t="s">
        <v>3358</v>
      </c>
      <c r="E436" s="2945">
        <v>68.209999999999994</v>
      </c>
      <c r="F436" s="2947" t="s">
        <v>3132</v>
      </c>
    </row>
    <row r="437" spans="1:6" ht="14.25">
      <c r="A437" s="2945">
        <v>435</v>
      </c>
      <c r="B437" s="2947" t="s">
        <v>3069</v>
      </c>
      <c r="C437" s="2945" t="s">
        <v>70</v>
      </c>
      <c r="D437" s="2945" t="s">
        <v>3359</v>
      </c>
      <c r="E437" s="2945">
        <v>68.209999999999994</v>
      </c>
      <c r="F437" s="2947" t="s">
        <v>3132</v>
      </c>
    </row>
    <row r="438" spans="1:6" ht="14.25">
      <c r="A438" s="2945">
        <v>436</v>
      </c>
      <c r="B438" s="2947" t="s">
        <v>3069</v>
      </c>
      <c r="C438" s="2945" t="s">
        <v>70</v>
      </c>
      <c r="D438" s="2945" t="s">
        <v>3360</v>
      </c>
      <c r="E438" s="2945">
        <v>68.209999999999994</v>
      </c>
      <c r="F438" s="2947" t="s">
        <v>3132</v>
      </c>
    </row>
    <row r="439" spans="1:6" ht="14.25">
      <c r="A439" s="2945">
        <v>437</v>
      </c>
      <c r="B439" s="2947" t="s">
        <v>3069</v>
      </c>
      <c r="C439" s="2945" t="s">
        <v>70</v>
      </c>
      <c r="D439" s="2945" t="s">
        <v>3361</v>
      </c>
      <c r="E439" s="2945">
        <v>68.209999999999994</v>
      </c>
      <c r="F439" s="2947" t="s">
        <v>3132</v>
      </c>
    </row>
    <row r="440" spans="1:6" ht="14.25">
      <c r="A440" s="2945">
        <v>438</v>
      </c>
      <c r="B440" s="2947" t="s">
        <v>3069</v>
      </c>
      <c r="C440" s="2945" t="s">
        <v>70</v>
      </c>
      <c r="D440" s="2945" t="s">
        <v>3362</v>
      </c>
      <c r="E440" s="2945">
        <v>68.209999999999994</v>
      </c>
      <c r="F440" s="2947" t="s">
        <v>3132</v>
      </c>
    </row>
    <row r="441" spans="1:6" ht="14.25">
      <c r="A441" s="2945">
        <v>439</v>
      </c>
      <c r="B441" s="2947" t="s">
        <v>3069</v>
      </c>
      <c r="C441" s="2945" t="s">
        <v>70</v>
      </c>
      <c r="D441" s="2945" t="s">
        <v>3363</v>
      </c>
      <c r="E441" s="2945">
        <v>68.209999999999994</v>
      </c>
      <c r="F441" s="2947" t="s">
        <v>3132</v>
      </c>
    </row>
    <row r="442" spans="1:6" ht="14.25">
      <c r="A442" s="2945">
        <v>440</v>
      </c>
      <c r="B442" s="2947" t="s">
        <v>3069</v>
      </c>
      <c r="C442" s="2945" t="s">
        <v>70</v>
      </c>
      <c r="D442" s="2945" t="s">
        <v>3364</v>
      </c>
      <c r="E442" s="2945">
        <v>68.209999999999994</v>
      </c>
      <c r="F442" s="2947" t="s">
        <v>3132</v>
      </c>
    </row>
    <row r="443" spans="1:6" ht="14.25">
      <c r="A443" s="2945">
        <v>441</v>
      </c>
      <c r="B443" s="2947" t="s">
        <v>3069</v>
      </c>
      <c r="C443" s="2945" t="s">
        <v>70</v>
      </c>
      <c r="D443" s="2945" t="s">
        <v>3365</v>
      </c>
      <c r="E443" s="2945">
        <v>68.209999999999994</v>
      </c>
      <c r="F443" s="2947" t="s">
        <v>3132</v>
      </c>
    </row>
    <row r="444" spans="1:6" ht="14.25">
      <c r="A444" s="2945">
        <v>442</v>
      </c>
      <c r="B444" s="2947" t="s">
        <v>3069</v>
      </c>
      <c r="C444" s="2945" t="s">
        <v>70</v>
      </c>
      <c r="D444" s="2945" t="s">
        <v>3366</v>
      </c>
      <c r="E444" s="2945">
        <v>68.209999999999994</v>
      </c>
      <c r="F444" s="2947" t="s">
        <v>3132</v>
      </c>
    </row>
    <row r="445" spans="1:6" ht="14.25">
      <c r="A445" s="2945">
        <v>443</v>
      </c>
      <c r="B445" s="2947" t="s">
        <v>3069</v>
      </c>
      <c r="C445" s="2945" t="s">
        <v>70</v>
      </c>
      <c r="D445" s="2945" t="s">
        <v>3367</v>
      </c>
      <c r="E445" s="2945">
        <v>68.209999999999994</v>
      </c>
      <c r="F445" s="2947" t="s">
        <v>3132</v>
      </c>
    </row>
    <row r="446" spans="1:6" ht="14.25">
      <c r="A446" s="2945">
        <v>444</v>
      </c>
      <c r="B446" s="2947" t="s">
        <v>3069</v>
      </c>
      <c r="C446" s="2945" t="s">
        <v>70</v>
      </c>
      <c r="D446" s="2945" t="s">
        <v>3368</v>
      </c>
      <c r="E446" s="2945">
        <v>68.209999999999994</v>
      </c>
      <c r="F446" s="2947" t="s">
        <v>3132</v>
      </c>
    </row>
    <row r="447" spans="1:6" ht="14.25">
      <c r="A447" s="2945">
        <v>445</v>
      </c>
      <c r="B447" s="2947" t="s">
        <v>3069</v>
      </c>
      <c r="C447" s="2945" t="s">
        <v>70</v>
      </c>
      <c r="D447" s="2945" t="s">
        <v>3369</v>
      </c>
      <c r="E447" s="2945">
        <v>68.209999999999994</v>
      </c>
      <c r="F447" s="2947" t="s">
        <v>3132</v>
      </c>
    </row>
    <row r="448" spans="1:6" ht="14.25">
      <c r="A448" s="2945">
        <v>446</v>
      </c>
      <c r="B448" s="2947" t="s">
        <v>3069</v>
      </c>
      <c r="C448" s="2945" t="s">
        <v>70</v>
      </c>
      <c r="D448" s="2945" t="s">
        <v>3370</v>
      </c>
      <c r="E448" s="2945">
        <v>68.209999999999994</v>
      </c>
      <c r="F448" s="2947" t="s">
        <v>3132</v>
      </c>
    </row>
    <row r="449" spans="1:6" ht="14.25">
      <c r="A449" s="2945">
        <v>447</v>
      </c>
      <c r="B449" s="2947" t="s">
        <v>3069</v>
      </c>
      <c r="C449" s="2945" t="s">
        <v>70</v>
      </c>
      <c r="D449" s="2945" t="s">
        <v>3371</v>
      </c>
      <c r="E449" s="2945">
        <v>68.209999999999994</v>
      </c>
      <c r="F449" s="2947" t="s">
        <v>3132</v>
      </c>
    </row>
    <row r="450" spans="1:6" ht="14.25">
      <c r="A450" s="2945">
        <v>448</v>
      </c>
      <c r="B450" s="2947" t="s">
        <v>3069</v>
      </c>
      <c r="C450" s="2945" t="s">
        <v>70</v>
      </c>
      <c r="D450" s="2945" t="s">
        <v>3372</v>
      </c>
      <c r="E450" s="2945">
        <v>68.209999999999994</v>
      </c>
      <c r="F450" s="2947" t="s">
        <v>3132</v>
      </c>
    </row>
    <row r="451" spans="1:6" ht="14.25">
      <c r="A451" s="2945">
        <v>449</v>
      </c>
      <c r="B451" s="2947" t="s">
        <v>3069</v>
      </c>
      <c r="C451" s="2945" t="s">
        <v>70</v>
      </c>
      <c r="D451" s="2945" t="s">
        <v>3373</v>
      </c>
      <c r="E451" s="2945">
        <v>68.209999999999994</v>
      </c>
      <c r="F451" s="2947" t="s">
        <v>3132</v>
      </c>
    </row>
    <row r="452" spans="1:6" ht="14.25">
      <c r="A452" s="2945">
        <v>450</v>
      </c>
      <c r="B452" s="2947" t="s">
        <v>3069</v>
      </c>
      <c r="C452" s="2945" t="s">
        <v>70</v>
      </c>
      <c r="D452" s="2945" t="s">
        <v>3374</v>
      </c>
      <c r="E452" s="2945">
        <v>68.209999999999994</v>
      </c>
      <c r="F452" s="2947" t="s">
        <v>3132</v>
      </c>
    </row>
    <row r="453" spans="1:6" ht="14.25">
      <c r="A453" s="2945">
        <v>451</v>
      </c>
      <c r="B453" s="2947" t="s">
        <v>3069</v>
      </c>
      <c r="C453" s="2945" t="s">
        <v>70</v>
      </c>
      <c r="D453" s="2945" t="s">
        <v>3375</v>
      </c>
      <c r="E453" s="2945">
        <v>68.209999999999994</v>
      </c>
      <c r="F453" s="2947" t="s">
        <v>3132</v>
      </c>
    </row>
    <row r="454" spans="1:6" ht="14.25">
      <c r="A454" s="2945">
        <v>452</v>
      </c>
      <c r="B454" s="2947" t="s">
        <v>3069</v>
      </c>
      <c r="C454" s="2945" t="s">
        <v>70</v>
      </c>
      <c r="D454" s="2945" t="s">
        <v>3376</v>
      </c>
      <c r="E454" s="2945">
        <v>68.209999999999994</v>
      </c>
      <c r="F454" s="2947" t="s">
        <v>3132</v>
      </c>
    </row>
    <row r="455" spans="1:6" ht="14.25">
      <c r="A455" s="2945">
        <v>453</v>
      </c>
      <c r="B455" s="2947" t="s">
        <v>3069</v>
      </c>
      <c r="C455" s="2945" t="s">
        <v>70</v>
      </c>
      <c r="D455" s="2945" t="s">
        <v>3377</v>
      </c>
      <c r="E455" s="2945">
        <v>58.46</v>
      </c>
      <c r="F455" s="2947" t="s">
        <v>3132</v>
      </c>
    </row>
    <row r="456" spans="1:6" ht="14.25">
      <c r="A456" s="2945">
        <v>454</v>
      </c>
      <c r="B456" s="2947" t="s">
        <v>3069</v>
      </c>
      <c r="C456" s="2945" t="s">
        <v>70</v>
      </c>
      <c r="D456" s="2945" t="s">
        <v>3378</v>
      </c>
      <c r="E456" s="2945">
        <v>58.46</v>
      </c>
      <c r="F456" s="2947" t="s">
        <v>3132</v>
      </c>
    </row>
    <row r="457" spans="1:6" ht="14.25">
      <c r="A457" s="2945">
        <v>455</v>
      </c>
      <c r="B457" s="2947" t="s">
        <v>3069</v>
      </c>
      <c r="C457" s="2945" t="s">
        <v>70</v>
      </c>
      <c r="D457" s="2945" t="s">
        <v>3379</v>
      </c>
      <c r="E457" s="2945">
        <v>68.209999999999994</v>
      </c>
      <c r="F457" s="2947" t="s">
        <v>3132</v>
      </c>
    </row>
    <row r="458" spans="1:6" ht="14.25">
      <c r="A458" s="2945">
        <v>456</v>
      </c>
      <c r="B458" s="2947" t="s">
        <v>3069</v>
      </c>
      <c r="C458" s="2945" t="s">
        <v>70</v>
      </c>
      <c r="D458" s="2945" t="s">
        <v>3380</v>
      </c>
      <c r="E458" s="2945">
        <v>68.209999999999994</v>
      </c>
      <c r="F458" s="2947" t="s">
        <v>3132</v>
      </c>
    </row>
    <row r="459" spans="1:6" ht="14.25">
      <c r="A459" s="2945">
        <v>457</v>
      </c>
      <c r="B459" s="2947" t="s">
        <v>3069</v>
      </c>
      <c r="C459" s="2945" t="s">
        <v>70</v>
      </c>
      <c r="D459" s="2945" t="s">
        <v>3381</v>
      </c>
      <c r="E459" s="2945">
        <v>68.209999999999994</v>
      </c>
      <c r="F459" s="2947" t="s">
        <v>3132</v>
      </c>
    </row>
    <row r="460" spans="1:6" ht="14.25">
      <c r="A460" s="2945">
        <v>458</v>
      </c>
      <c r="B460" s="2947" t="s">
        <v>3069</v>
      </c>
      <c r="C460" s="2945" t="s">
        <v>70</v>
      </c>
      <c r="D460" s="2945" t="s">
        <v>3382</v>
      </c>
      <c r="E460" s="2945">
        <v>68.209999999999994</v>
      </c>
      <c r="F460" s="2947" t="s">
        <v>3132</v>
      </c>
    </row>
    <row r="461" spans="1:6" ht="14.25">
      <c r="A461" s="2945">
        <v>459</v>
      </c>
      <c r="B461" s="2947" t="s">
        <v>3069</v>
      </c>
      <c r="C461" s="2945" t="s">
        <v>70</v>
      </c>
      <c r="D461" s="2945" t="s">
        <v>3383</v>
      </c>
      <c r="E461" s="2945">
        <v>68.209999999999994</v>
      </c>
      <c r="F461" s="2947" t="s">
        <v>3132</v>
      </c>
    </row>
    <row r="462" spans="1:6" ht="14.25">
      <c r="A462" s="2945">
        <v>460</v>
      </c>
      <c r="B462" s="2947" t="s">
        <v>3069</v>
      </c>
      <c r="C462" s="2945" t="s">
        <v>70</v>
      </c>
      <c r="D462" s="2945" t="s">
        <v>3384</v>
      </c>
      <c r="E462" s="2945">
        <v>68.209999999999994</v>
      </c>
      <c r="F462" s="2947" t="s">
        <v>3132</v>
      </c>
    </row>
    <row r="463" spans="1:6" ht="14.25">
      <c r="A463" s="2945">
        <v>461</v>
      </c>
      <c r="B463" s="2947" t="s">
        <v>3069</v>
      </c>
      <c r="C463" s="2945" t="s">
        <v>70</v>
      </c>
      <c r="D463" s="2945" t="s">
        <v>3385</v>
      </c>
      <c r="E463" s="2945">
        <v>68.209999999999994</v>
      </c>
      <c r="F463" s="2947" t="s">
        <v>3132</v>
      </c>
    </row>
    <row r="464" spans="1:6" ht="14.25">
      <c r="A464" s="2945">
        <v>462</v>
      </c>
      <c r="B464" s="2947" t="s">
        <v>3069</v>
      </c>
      <c r="C464" s="2945" t="s">
        <v>70</v>
      </c>
      <c r="D464" s="2945" t="s">
        <v>3386</v>
      </c>
      <c r="E464" s="2945">
        <v>68.209999999999994</v>
      </c>
      <c r="F464" s="2947" t="s">
        <v>3132</v>
      </c>
    </row>
    <row r="465" spans="1:6" ht="14.25">
      <c r="A465" s="2945">
        <v>463</v>
      </c>
      <c r="B465" s="2947" t="s">
        <v>3069</v>
      </c>
      <c r="C465" s="2945" t="s">
        <v>70</v>
      </c>
      <c r="D465" s="2945" t="s">
        <v>3387</v>
      </c>
      <c r="E465" s="2945">
        <v>68.209999999999994</v>
      </c>
      <c r="F465" s="2947" t="s">
        <v>3132</v>
      </c>
    </row>
    <row r="466" spans="1:6" ht="14.25">
      <c r="A466" s="2945">
        <v>464</v>
      </c>
      <c r="B466" s="2947" t="s">
        <v>3069</v>
      </c>
      <c r="C466" s="2945" t="s">
        <v>70</v>
      </c>
      <c r="D466" s="2945" t="s">
        <v>3388</v>
      </c>
      <c r="E466" s="2945">
        <v>68.209999999999994</v>
      </c>
      <c r="F466" s="2947" t="s">
        <v>3132</v>
      </c>
    </row>
    <row r="467" spans="1:6" ht="14.25">
      <c r="A467" s="2945">
        <v>465</v>
      </c>
      <c r="B467" s="2947" t="s">
        <v>3069</v>
      </c>
      <c r="C467" s="2945" t="s">
        <v>70</v>
      </c>
      <c r="D467" s="2945" t="s">
        <v>3389</v>
      </c>
      <c r="E467" s="2945">
        <v>68.209999999999994</v>
      </c>
      <c r="F467" s="2947" t="s">
        <v>3132</v>
      </c>
    </row>
    <row r="468" spans="1:6" ht="14.25">
      <c r="A468" s="2945">
        <v>466</v>
      </c>
      <c r="B468" s="2947" t="s">
        <v>3069</v>
      </c>
      <c r="C468" s="2945" t="s">
        <v>70</v>
      </c>
      <c r="D468" s="2945" t="s">
        <v>3390</v>
      </c>
      <c r="E468" s="2945">
        <v>68.209999999999994</v>
      </c>
      <c r="F468" s="2947" t="s">
        <v>3132</v>
      </c>
    </row>
    <row r="469" spans="1:6" ht="14.25">
      <c r="A469" s="2945">
        <v>467</v>
      </c>
      <c r="B469" s="2947" t="s">
        <v>3069</v>
      </c>
      <c r="C469" s="2945" t="s">
        <v>70</v>
      </c>
      <c r="D469" s="2945" t="s">
        <v>3391</v>
      </c>
      <c r="E469" s="2945">
        <v>68.209999999999994</v>
      </c>
      <c r="F469" s="2947" t="s">
        <v>3132</v>
      </c>
    </row>
    <row r="470" spans="1:6" ht="14.25">
      <c r="A470" s="2945">
        <v>468</v>
      </c>
      <c r="B470" s="2947" t="s">
        <v>3069</v>
      </c>
      <c r="C470" s="2945" t="s">
        <v>70</v>
      </c>
      <c r="D470" s="2945" t="s">
        <v>3392</v>
      </c>
      <c r="E470" s="2945">
        <v>68.209999999999994</v>
      </c>
      <c r="F470" s="2947" t="s">
        <v>3132</v>
      </c>
    </row>
    <row r="471" spans="1:6" ht="14.25">
      <c r="A471" s="2945">
        <v>469</v>
      </c>
      <c r="B471" s="2947" t="s">
        <v>3069</v>
      </c>
      <c r="C471" s="2945" t="s">
        <v>70</v>
      </c>
      <c r="D471" s="2945" t="s">
        <v>3393</v>
      </c>
      <c r="E471" s="2945">
        <v>68.209999999999994</v>
      </c>
      <c r="F471" s="2947" t="s">
        <v>3132</v>
      </c>
    </row>
    <row r="472" spans="1:6" ht="14.25">
      <c r="A472" s="2945">
        <v>470</v>
      </c>
      <c r="B472" s="2947" t="s">
        <v>3069</v>
      </c>
      <c r="C472" s="2945" t="s">
        <v>70</v>
      </c>
      <c r="D472" s="2945" t="s">
        <v>3394</v>
      </c>
      <c r="E472" s="2945">
        <v>68.209999999999994</v>
      </c>
      <c r="F472" s="2947" t="s">
        <v>3132</v>
      </c>
    </row>
    <row r="473" spans="1:6" ht="14.25">
      <c r="A473" s="2945">
        <v>471</v>
      </c>
      <c r="B473" s="2947" t="s">
        <v>3069</v>
      </c>
      <c r="C473" s="2945" t="s">
        <v>70</v>
      </c>
      <c r="D473" s="2945" t="s">
        <v>3395</v>
      </c>
      <c r="E473" s="2945">
        <v>68.209999999999994</v>
      </c>
      <c r="F473" s="2947" t="s">
        <v>3132</v>
      </c>
    </row>
    <row r="474" spans="1:6" ht="14.25">
      <c r="A474" s="2945">
        <v>472</v>
      </c>
      <c r="B474" s="2947" t="s">
        <v>3069</v>
      </c>
      <c r="C474" s="2945" t="s">
        <v>70</v>
      </c>
      <c r="D474" s="2945" t="s">
        <v>3396</v>
      </c>
      <c r="E474" s="2945">
        <v>68.209999999999994</v>
      </c>
      <c r="F474" s="2947" t="s">
        <v>3132</v>
      </c>
    </row>
    <row r="475" spans="1:6" ht="14.25">
      <c r="A475" s="2945">
        <v>473</v>
      </c>
      <c r="B475" s="2947" t="s">
        <v>3069</v>
      </c>
      <c r="C475" s="2945" t="s">
        <v>70</v>
      </c>
      <c r="D475" s="2945" t="s">
        <v>3397</v>
      </c>
      <c r="E475" s="2945">
        <v>68.209999999999994</v>
      </c>
      <c r="F475" s="2947" t="s">
        <v>3132</v>
      </c>
    </row>
    <row r="476" spans="1:6" ht="14.25">
      <c r="A476" s="2945">
        <v>474</v>
      </c>
      <c r="B476" s="2947" t="s">
        <v>3069</v>
      </c>
      <c r="C476" s="2945" t="s">
        <v>70</v>
      </c>
      <c r="D476" s="2945" t="s">
        <v>3398</v>
      </c>
      <c r="E476" s="2945">
        <v>68.209999999999994</v>
      </c>
      <c r="F476" s="2947" t="s">
        <v>3132</v>
      </c>
    </row>
    <row r="477" spans="1:6" ht="14.25">
      <c r="A477" s="2945">
        <v>475</v>
      </c>
      <c r="B477" s="2947" t="s">
        <v>3069</v>
      </c>
      <c r="C477" s="2945" t="s">
        <v>70</v>
      </c>
      <c r="D477" s="2945" t="s">
        <v>3399</v>
      </c>
      <c r="E477" s="2945">
        <v>68.209999999999994</v>
      </c>
      <c r="F477" s="2947" t="s">
        <v>3132</v>
      </c>
    </row>
    <row r="478" spans="1:6" ht="14.25">
      <c r="A478" s="2945">
        <v>476</v>
      </c>
      <c r="B478" s="2947" t="s">
        <v>3069</v>
      </c>
      <c r="C478" s="2945" t="s">
        <v>70</v>
      </c>
      <c r="D478" s="2945" t="s">
        <v>3400</v>
      </c>
      <c r="E478" s="2945">
        <v>68.209999999999994</v>
      </c>
      <c r="F478" s="2947" t="s">
        <v>3132</v>
      </c>
    </row>
    <row r="479" spans="1:6" ht="14.25">
      <c r="A479" s="2945">
        <v>477</v>
      </c>
      <c r="B479" s="2947" t="s">
        <v>3069</v>
      </c>
      <c r="C479" s="2945" t="s">
        <v>70</v>
      </c>
      <c r="D479" s="2945" t="s">
        <v>3401</v>
      </c>
      <c r="E479" s="2945">
        <v>68.209999999999994</v>
      </c>
      <c r="F479" s="2947" t="s">
        <v>3132</v>
      </c>
    </row>
    <row r="480" spans="1:6" ht="14.25">
      <c r="A480" s="2945">
        <v>478</v>
      </c>
      <c r="B480" s="2947" t="s">
        <v>3069</v>
      </c>
      <c r="C480" s="2945" t="s">
        <v>70</v>
      </c>
      <c r="D480" s="2945" t="s">
        <v>3402</v>
      </c>
      <c r="E480" s="2945">
        <v>68.209999999999994</v>
      </c>
      <c r="F480" s="2947" t="s">
        <v>3132</v>
      </c>
    </row>
    <row r="481" spans="1:6" ht="14.25">
      <c r="A481" s="2945">
        <v>479</v>
      </c>
      <c r="B481" s="2947" t="s">
        <v>3069</v>
      </c>
      <c r="C481" s="2945" t="s">
        <v>70</v>
      </c>
      <c r="D481" s="2945" t="s">
        <v>3403</v>
      </c>
      <c r="E481" s="2945">
        <v>68.209999999999994</v>
      </c>
      <c r="F481" s="2947" t="s">
        <v>3132</v>
      </c>
    </row>
    <row r="482" spans="1:6" ht="14.25">
      <c r="A482" s="2945">
        <v>480</v>
      </c>
      <c r="B482" s="2947" t="s">
        <v>3069</v>
      </c>
      <c r="C482" s="2945" t="s">
        <v>70</v>
      </c>
      <c r="D482" s="2945" t="s">
        <v>3404</v>
      </c>
      <c r="E482" s="2945">
        <v>68.209999999999994</v>
      </c>
      <c r="F482" s="2947" t="s">
        <v>3132</v>
      </c>
    </row>
    <row r="483" spans="1:6" ht="14.25">
      <c r="A483" s="2945">
        <v>481</v>
      </c>
      <c r="B483" s="2947" t="s">
        <v>3069</v>
      </c>
      <c r="C483" s="2945" t="s">
        <v>70</v>
      </c>
      <c r="D483" s="2945" t="s">
        <v>3405</v>
      </c>
      <c r="E483" s="2945">
        <v>68.209999999999994</v>
      </c>
      <c r="F483" s="2947" t="s">
        <v>3132</v>
      </c>
    </row>
    <row r="484" spans="1:6" ht="14.25">
      <c r="A484" s="2945">
        <v>482</v>
      </c>
      <c r="B484" s="2947" t="s">
        <v>3069</v>
      </c>
      <c r="C484" s="2945" t="s">
        <v>70</v>
      </c>
      <c r="D484" s="2945" t="s">
        <v>3406</v>
      </c>
      <c r="E484" s="2945">
        <v>68.209999999999994</v>
      </c>
      <c r="F484" s="2947" t="s">
        <v>3132</v>
      </c>
    </row>
    <row r="485" spans="1:6" ht="14.25">
      <c r="A485" s="2945">
        <v>483</v>
      </c>
      <c r="B485" s="2947" t="s">
        <v>3069</v>
      </c>
      <c r="C485" s="2945" t="s">
        <v>70</v>
      </c>
      <c r="D485" s="2945" t="s">
        <v>3407</v>
      </c>
      <c r="E485" s="2945">
        <v>68.209999999999994</v>
      </c>
      <c r="F485" s="2947" t="s">
        <v>3132</v>
      </c>
    </row>
    <row r="486" spans="1:6" ht="14.25">
      <c r="A486" s="2945">
        <v>484</v>
      </c>
      <c r="B486" s="2947" t="s">
        <v>3069</v>
      </c>
      <c r="C486" s="2945" t="s">
        <v>70</v>
      </c>
      <c r="D486" s="2945" t="s">
        <v>3408</v>
      </c>
      <c r="E486" s="2945">
        <v>68.209999999999994</v>
      </c>
      <c r="F486" s="2947" t="s">
        <v>3132</v>
      </c>
    </row>
    <row r="487" spans="1:6" ht="14.25">
      <c r="A487" s="2945">
        <v>485</v>
      </c>
      <c r="B487" s="2947" t="s">
        <v>3069</v>
      </c>
      <c r="C487" s="2945" t="s">
        <v>70</v>
      </c>
      <c r="D487" s="2945" t="s">
        <v>3409</v>
      </c>
      <c r="E487" s="2945">
        <v>68.209999999999994</v>
      </c>
      <c r="F487" s="2947" t="s">
        <v>3132</v>
      </c>
    </row>
    <row r="488" spans="1:6" ht="14.25">
      <c r="A488" s="2945">
        <v>486</v>
      </c>
      <c r="B488" s="2947" t="s">
        <v>3069</v>
      </c>
      <c r="C488" s="2945" t="s">
        <v>70</v>
      </c>
      <c r="D488" s="2945" t="s">
        <v>3410</v>
      </c>
      <c r="E488" s="2945">
        <v>68.209999999999994</v>
      </c>
      <c r="F488" s="2947" t="s">
        <v>3132</v>
      </c>
    </row>
    <row r="489" spans="1:6" ht="14.25">
      <c r="A489" s="2945">
        <v>487</v>
      </c>
      <c r="B489" s="2947" t="s">
        <v>3069</v>
      </c>
      <c r="C489" s="2945" t="s">
        <v>70</v>
      </c>
      <c r="D489" s="2945" t="s">
        <v>3411</v>
      </c>
      <c r="E489" s="2945">
        <v>58.46</v>
      </c>
      <c r="F489" s="2947" t="s">
        <v>3132</v>
      </c>
    </row>
    <row r="490" spans="1:6" ht="14.25">
      <c r="A490" s="2945">
        <v>488</v>
      </c>
      <c r="B490" s="2947" t="s">
        <v>3069</v>
      </c>
      <c r="C490" s="2945" t="s">
        <v>70</v>
      </c>
      <c r="D490" s="2945" t="s">
        <v>3412</v>
      </c>
      <c r="E490" s="2945">
        <v>58.46</v>
      </c>
      <c r="F490" s="2947" t="s">
        <v>3132</v>
      </c>
    </row>
    <row r="491" spans="1:6" ht="14.25">
      <c r="A491" s="2945">
        <v>489</v>
      </c>
      <c r="B491" s="2947" t="s">
        <v>3069</v>
      </c>
      <c r="C491" s="2945" t="s">
        <v>70</v>
      </c>
      <c r="D491" s="2945" t="s">
        <v>3413</v>
      </c>
      <c r="E491" s="2945">
        <v>68.209999999999994</v>
      </c>
      <c r="F491" s="2947" t="s">
        <v>3132</v>
      </c>
    </row>
    <row r="492" spans="1:6" ht="14.25">
      <c r="A492" s="2945">
        <v>490</v>
      </c>
      <c r="B492" s="2947" t="s">
        <v>3069</v>
      </c>
      <c r="C492" s="2945" t="s">
        <v>70</v>
      </c>
      <c r="D492" s="2945" t="s">
        <v>3414</v>
      </c>
      <c r="E492" s="2945">
        <v>137.63</v>
      </c>
      <c r="F492" s="2947" t="s">
        <v>3132</v>
      </c>
    </row>
    <row r="493" spans="1:6" ht="14.25">
      <c r="A493" s="2945">
        <v>491</v>
      </c>
      <c r="B493" s="2947" t="s">
        <v>3069</v>
      </c>
      <c r="C493" s="2945" t="s">
        <v>70</v>
      </c>
      <c r="D493" s="2945" t="s">
        <v>3415</v>
      </c>
      <c r="E493" s="2945">
        <v>68.209999999999994</v>
      </c>
      <c r="F493" s="2947" t="s">
        <v>3132</v>
      </c>
    </row>
    <row r="494" spans="1:6" ht="14.25">
      <c r="A494" s="2945">
        <v>492</v>
      </c>
      <c r="B494" s="2947" t="s">
        <v>3069</v>
      </c>
      <c r="C494" s="2945" t="s">
        <v>70</v>
      </c>
      <c r="D494" s="2945" t="s">
        <v>3416</v>
      </c>
      <c r="E494" s="2945">
        <v>68.209999999999994</v>
      </c>
      <c r="F494" s="2947" t="s">
        <v>3132</v>
      </c>
    </row>
    <row r="495" spans="1:6" ht="14.25">
      <c r="A495" s="2945">
        <v>493</v>
      </c>
      <c r="B495" s="2947" t="s">
        <v>3069</v>
      </c>
      <c r="C495" s="2945" t="s">
        <v>70</v>
      </c>
      <c r="D495" s="2945" t="s">
        <v>3417</v>
      </c>
      <c r="E495" s="2945">
        <v>68.209999999999994</v>
      </c>
      <c r="F495" s="2947" t="s">
        <v>3132</v>
      </c>
    </row>
    <row r="496" spans="1:6" ht="14.25">
      <c r="A496" s="2945">
        <v>494</v>
      </c>
      <c r="B496" s="2947" t="s">
        <v>3069</v>
      </c>
      <c r="C496" s="2945" t="s">
        <v>70</v>
      </c>
      <c r="D496" s="2945" t="s">
        <v>3418</v>
      </c>
      <c r="E496" s="2945">
        <v>68.209999999999994</v>
      </c>
      <c r="F496" s="2947" t="s">
        <v>3132</v>
      </c>
    </row>
    <row r="497" spans="1:6" ht="14.25">
      <c r="A497" s="2945">
        <v>495</v>
      </c>
      <c r="B497" s="2947" t="s">
        <v>3069</v>
      </c>
      <c r="C497" s="2945" t="s">
        <v>70</v>
      </c>
      <c r="D497" s="2945" t="s">
        <v>3419</v>
      </c>
      <c r="E497" s="2945">
        <v>68.209999999999994</v>
      </c>
      <c r="F497" s="2947" t="s">
        <v>3132</v>
      </c>
    </row>
    <row r="498" spans="1:6" ht="14.25">
      <c r="A498" s="2945">
        <v>496</v>
      </c>
      <c r="B498" s="2947" t="s">
        <v>3069</v>
      </c>
      <c r="C498" s="2945" t="s">
        <v>70</v>
      </c>
      <c r="D498" s="2945" t="s">
        <v>3420</v>
      </c>
      <c r="E498" s="2945">
        <v>68.209999999999994</v>
      </c>
      <c r="F498" s="2947" t="s">
        <v>3132</v>
      </c>
    </row>
    <row r="499" spans="1:6" ht="14.25">
      <c r="A499" s="2945">
        <v>497</v>
      </c>
      <c r="B499" s="2947" t="s">
        <v>3069</v>
      </c>
      <c r="C499" s="2945" t="s">
        <v>70</v>
      </c>
      <c r="D499" s="2945" t="s">
        <v>3421</v>
      </c>
      <c r="E499" s="2945">
        <v>68.209999999999994</v>
      </c>
      <c r="F499" s="2947" t="s">
        <v>3132</v>
      </c>
    </row>
    <row r="500" spans="1:6" ht="14.25">
      <c r="A500" s="2945">
        <v>498</v>
      </c>
      <c r="B500" s="2947" t="s">
        <v>3069</v>
      </c>
      <c r="C500" s="2945" t="s">
        <v>70</v>
      </c>
      <c r="D500" s="2945" t="s">
        <v>3422</v>
      </c>
      <c r="E500" s="2945">
        <v>68.209999999999994</v>
      </c>
      <c r="F500" s="2947" t="s">
        <v>3132</v>
      </c>
    </row>
    <row r="501" spans="1:6" ht="14.25">
      <c r="A501" s="2945">
        <v>499</v>
      </c>
      <c r="B501" s="2947" t="s">
        <v>3069</v>
      </c>
      <c r="C501" s="2945" t="s">
        <v>70</v>
      </c>
      <c r="D501" s="2945" t="s">
        <v>3423</v>
      </c>
      <c r="E501" s="2945">
        <v>68.209999999999994</v>
      </c>
      <c r="F501" s="2947" t="s">
        <v>3132</v>
      </c>
    </row>
    <row r="502" spans="1:6" ht="14.25">
      <c r="A502" s="2945">
        <v>500</v>
      </c>
      <c r="B502" s="2947" t="s">
        <v>3069</v>
      </c>
      <c r="C502" s="2945" t="s">
        <v>70</v>
      </c>
      <c r="D502" s="2945" t="s">
        <v>3424</v>
      </c>
      <c r="E502" s="2945">
        <v>68.209999999999994</v>
      </c>
      <c r="F502" s="2947" t="s">
        <v>3132</v>
      </c>
    </row>
    <row r="503" spans="1:6" ht="14.25">
      <c r="A503" s="2945">
        <v>501</v>
      </c>
      <c r="B503" s="2947" t="s">
        <v>3069</v>
      </c>
      <c r="C503" s="2945" t="s">
        <v>70</v>
      </c>
      <c r="D503" s="2945" t="s">
        <v>3425</v>
      </c>
      <c r="E503" s="2945">
        <v>35.729999999999997</v>
      </c>
      <c r="F503" s="2947" t="s">
        <v>3132</v>
      </c>
    </row>
    <row r="504" spans="1:6" ht="14.25">
      <c r="A504" s="2945">
        <v>502</v>
      </c>
      <c r="B504" s="2947" t="s">
        <v>3069</v>
      </c>
      <c r="C504" s="2945" t="s">
        <v>70</v>
      </c>
      <c r="D504" s="2945" t="s">
        <v>3426</v>
      </c>
      <c r="E504" s="2945">
        <v>52.09</v>
      </c>
      <c r="F504" s="2947" t="s">
        <v>3132</v>
      </c>
    </row>
    <row r="505" spans="1:6" ht="14.25">
      <c r="A505" s="2945">
        <v>503</v>
      </c>
      <c r="B505" s="2947" t="s">
        <v>3069</v>
      </c>
      <c r="C505" s="2945" t="s">
        <v>70</v>
      </c>
      <c r="D505" s="2945" t="s">
        <v>3427</v>
      </c>
      <c r="E505" s="2945">
        <v>52.29</v>
      </c>
      <c r="F505" s="2947" t="s">
        <v>3132</v>
      </c>
    </row>
    <row r="506" spans="1:6" ht="14.25">
      <c r="A506" s="2945">
        <v>504</v>
      </c>
      <c r="B506" s="2947" t="s">
        <v>3069</v>
      </c>
      <c r="C506" s="2945" t="s">
        <v>70</v>
      </c>
      <c r="D506" s="2945" t="s">
        <v>3428</v>
      </c>
      <c r="E506" s="2945">
        <v>116.84</v>
      </c>
      <c r="F506" s="2947" t="s">
        <v>3132</v>
      </c>
    </row>
    <row r="507" spans="1:6" ht="14.25">
      <c r="A507" s="2945">
        <v>505</v>
      </c>
      <c r="B507" s="2947" t="s">
        <v>3069</v>
      </c>
      <c r="C507" s="2945" t="s">
        <v>70</v>
      </c>
      <c r="D507" s="2945" t="s">
        <v>3429</v>
      </c>
      <c r="E507" s="2945">
        <v>116.92</v>
      </c>
      <c r="F507" s="2947" t="s">
        <v>3132</v>
      </c>
    </row>
    <row r="508" spans="1:6" ht="14.25">
      <c r="A508" s="2945">
        <v>506</v>
      </c>
      <c r="B508" s="2947" t="s">
        <v>3069</v>
      </c>
      <c r="C508" s="2945" t="s">
        <v>70</v>
      </c>
      <c r="D508" s="2945" t="s">
        <v>3430</v>
      </c>
      <c r="E508" s="2945">
        <v>68.209999999999994</v>
      </c>
      <c r="F508" s="2947" t="s">
        <v>3132</v>
      </c>
    </row>
    <row r="509" spans="1:6" ht="14.25">
      <c r="A509" s="2945">
        <v>507</v>
      </c>
      <c r="B509" s="2947" t="s">
        <v>3069</v>
      </c>
      <c r="C509" s="2945" t="s">
        <v>70</v>
      </c>
      <c r="D509" s="2945" t="s">
        <v>3431</v>
      </c>
      <c r="E509" s="2945">
        <v>68.209999999999994</v>
      </c>
      <c r="F509" s="2947" t="s">
        <v>3132</v>
      </c>
    </row>
    <row r="510" spans="1:6" ht="14.25">
      <c r="A510" s="2945">
        <v>508</v>
      </c>
      <c r="B510" s="2947" t="s">
        <v>3069</v>
      </c>
      <c r="C510" s="2945" t="s">
        <v>70</v>
      </c>
      <c r="D510" s="2945" t="s">
        <v>3432</v>
      </c>
      <c r="E510" s="2945">
        <v>68.209999999999994</v>
      </c>
      <c r="F510" s="2947" t="s">
        <v>3132</v>
      </c>
    </row>
    <row r="511" spans="1:6" ht="14.25">
      <c r="A511" s="2945">
        <v>509</v>
      </c>
      <c r="B511" s="2947" t="s">
        <v>3069</v>
      </c>
      <c r="C511" s="2945" t="s">
        <v>70</v>
      </c>
      <c r="D511" s="2945" t="s">
        <v>3433</v>
      </c>
      <c r="E511" s="2945">
        <v>68.209999999999994</v>
      </c>
      <c r="F511" s="2947" t="s">
        <v>3132</v>
      </c>
    </row>
    <row r="512" spans="1:6" ht="14.25">
      <c r="A512" s="2945">
        <v>510</v>
      </c>
      <c r="B512" s="2947" t="s">
        <v>3069</v>
      </c>
      <c r="C512" s="2945" t="s">
        <v>70</v>
      </c>
      <c r="D512" s="2945" t="s">
        <v>3434</v>
      </c>
      <c r="E512" s="2945">
        <v>68.209999999999994</v>
      </c>
      <c r="F512" s="2947" t="s">
        <v>3132</v>
      </c>
    </row>
    <row r="513" spans="1:6" ht="14.25">
      <c r="A513" s="2945">
        <v>511</v>
      </c>
      <c r="B513" s="2947" t="s">
        <v>3069</v>
      </c>
      <c r="C513" s="2945" t="s">
        <v>70</v>
      </c>
      <c r="D513" s="2945" t="s">
        <v>3435</v>
      </c>
      <c r="E513" s="2945">
        <v>68.209999999999994</v>
      </c>
      <c r="F513" s="2947" t="s">
        <v>3132</v>
      </c>
    </row>
    <row r="514" spans="1:6" ht="14.25">
      <c r="A514" s="2945">
        <v>512</v>
      </c>
      <c r="B514" s="2947" t="s">
        <v>3069</v>
      </c>
      <c r="C514" s="2945" t="s">
        <v>70</v>
      </c>
      <c r="D514" s="2945" t="s">
        <v>3436</v>
      </c>
      <c r="E514" s="2945">
        <v>68.209999999999994</v>
      </c>
      <c r="F514" s="2947" t="s">
        <v>3132</v>
      </c>
    </row>
    <row r="515" spans="1:6" ht="14.25">
      <c r="A515" s="2945">
        <v>513</v>
      </c>
      <c r="B515" s="2947" t="s">
        <v>3069</v>
      </c>
      <c r="C515" s="2945" t="s">
        <v>70</v>
      </c>
      <c r="D515" s="2945" t="s">
        <v>3437</v>
      </c>
      <c r="E515" s="2945">
        <v>68.209999999999994</v>
      </c>
      <c r="F515" s="2947" t="s">
        <v>3132</v>
      </c>
    </row>
    <row r="516" spans="1:6" ht="14.25">
      <c r="A516" s="2945">
        <v>514</v>
      </c>
      <c r="B516" s="2947" t="s">
        <v>3069</v>
      </c>
      <c r="C516" s="2945" t="s">
        <v>70</v>
      </c>
      <c r="D516" s="2945" t="s">
        <v>3438</v>
      </c>
      <c r="E516" s="2945">
        <v>58.46</v>
      </c>
      <c r="F516" s="2947" t="s">
        <v>3132</v>
      </c>
    </row>
    <row r="517" spans="1:6" ht="14.25">
      <c r="A517" s="2945">
        <v>515</v>
      </c>
      <c r="B517" s="2947" t="s">
        <v>3069</v>
      </c>
      <c r="C517" s="2945" t="s">
        <v>70</v>
      </c>
      <c r="D517" s="2945" t="s">
        <v>3439</v>
      </c>
      <c r="E517" s="2945">
        <v>58.46</v>
      </c>
      <c r="F517" s="2947" t="s">
        <v>3132</v>
      </c>
    </row>
    <row r="518" spans="1:6" ht="14.25">
      <c r="A518" s="2945">
        <v>516</v>
      </c>
      <c r="B518" s="2947" t="s">
        <v>3069</v>
      </c>
      <c r="C518" s="2945" t="s">
        <v>70</v>
      </c>
      <c r="D518" s="2945" t="s">
        <v>3440</v>
      </c>
      <c r="E518" s="2945">
        <v>68.209999999999994</v>
      </c>
      <c r="F518" s="2947" t="s">
        <v>3132</v>
      </c>
    </row>
    <row r="519" spans="1:6" ht="14.25">
      <c r="A519" s="2945">
        <v>517</v>
      </c>
      <c r="B519" s="2947" t="s">
        <v>3069</v>
      </c>
      <c r="C519" s="2945" t="s">
        <v>70</v>
      </c>
      <c r="D519" s="2945" t="s">
        <v>3441</v>
      </c>
      <c r="E519" s="2945">
        <v>68.209999999999994</v>
      </c>
      <c r="F519" s="2947" t="s">
        <v>3132</v>
      </c>
    </row>
    <row r="520" spans="1:6" ht="14.25">
      <c r="A520" s="2945">
        <v>518</v>
      </c>
      <c r="B520" s="2947" t="s">
        <v>3069</v>
      </c>
      <c r="C520" s="2945" t="s">
        <v>70</v>
      </c>
      <c r="D520" s="2945" t="s">
        <v>3442</v>
      </c>
      <c r="E520" s="2945">
        <v>68.209999999999994</v>
      </c>
      <c r="F520" s="2947" t="s">
        <v>3132</v>
      </c>
    </row>
    <row r="521" spans="1:6" ht="14.25">
      <c r="A521" s="2945">
        <v>519</v>
      </c>
      <c r="B521" s="2947" t="s">
        <v>3069</v>
      </c>
      <c r="C521" s="2945" t="s">
        <v>70</v>
      </c>
      <c r="D521" s="2945" t="s">
        <v>3443</v>
      </c>
      <c r="E521" s="2945">
        <v>68.209999999999994</v>
      </c>
      <c r="F521" s="2947" t="s">
        <v>3132</v>
      </c>
    </row>
    <row r="522" spans="1:6" ht="14.25">
      <c r="A522" s="2945">
        <v>520</v>
      </c>
      <c r="B522" s="2947" t="s">
        <v>3069</v>
      </c>
      <c r="C522" s="2945" t="s">
        <v>70</v>
      </c>
      <c r="D522" s="2945" t="s">
        <v>3444</v>
      </c>
      <c r="E522" s="2945">
        <v>137.63</v>
      </c>
      <c r="F522" s="2947" t="s">
        <v>3132</v>
      </c>
    </row>
    <row r="523" spans="1:6" ht="14.25">
      <c r="A523" s="2945">
        <v>521</v>
      </c>
      <c r="B523" s="2947" t="s">
        <v>3069</v>
      </c>
      <c r="C523" s="2945" t="s">
        <v>70</v>
      </c>
      <c r="D523" s="2945" t="s">
        <v>3445</v>
      </c>
      <c r="E523" s="2945">
        <v>68.209999999999994</v>
      </c>
      <c r="F523" s="2947" t="s">
        <v>3132</v>
      </c>
    </row>
    <row r="524" spans="1:6" ht="14.25">
      <c r="A524" s="2945">
        <v>522</v>
      </c>
      <c r="B524" s="2947" t="s">
        <v>3069</v>
      </c>
      <c r="C524" s="2945" t="s">
        <v>70</v>
      </c>
      <c r="D524" s="2945" t="s">
        <v>3446</v>
      </c>
      <c r="E524" s="2945">
        <v>68.209999999999994</v>
      </c>
      <c r="F524" s="2947" t="s">
        <v>3132</v>
      </c>
    </row>
    <row r="525" spans="1:6" ht="14.25">
      <c r="A525" s="2945">
        <v>523</v>
      </c>
      <c r="B525" s="2947" t="s">
        <v>3069</v>
      </c>
      <c r="C525" s="2945" t="s">
        <v>70</v>
      </c>
      <c r="D525" s="2945" t="s">
        <v>3447</v>
      </c>
      <c r="E525" s="2945">
        <v>136.41</v>
      </c>
      <c r="F525" s="2947" t="s">
        <v>3132</v>
      </c>
    </row>
    <row r="526" spans="1:6" ht="14.25">
      <c r="A526" s="2945">
        <v>524</v>
      </c>
      <c r="B526" s="2947" t="s">
        <v>3069</v>
      </c>
      <c r="C526" s="2945" t="s">
        <v>70</v>
      </c>
      <c r="D526" s="2945" t="s">
        <v>3448</v>
      </c>
      <c r="E526" s="2945">
        <v>126.67</v>
      </c>
      <c r="F526" s="2947" t="s">
        <v>3132</v>
      </c>
    </row>
    <row r="527" spans="1:6" ht="14.25">
      <c r="A527" s="2945">
        <v>525</v>
      </c>
      <c r="B527" s="2947" t="s">
        <v>3069</v>
      </c>
      <c r="C527" s="2945" t="s">
        <v>70</v>
      </c>
      <c r="D527" s="2945" t="s">
        <v>3449</v>
      </c>
      <c r="E527" s="2945">
        <v>68.209999999999994</v>
      </c>
      <c r="F527" s="2947" t="s">
        <v>3132</v>
      </c>
    </row>
    <row r="528" spans="1:6" ht="14.25">
      <c r="A528" s="2945">
        <v>526</v>
      </c>
      <c r="B528" s="2947" t="s">
        <v>3069</v>
      </c>
      <c r="C528" s="2945" t="s">
        <v>70</v>
      </c>
      <c r="D528" s="2945" t="s">
        <v>3450</v>
      </c>
      <c r="E528" s="2945">
        <v>137.63</v>
      </c>
      <c r="F528" s="2947" t="s">
        <v>3132</v>
      </c>
    </row>
    <row r="529" spans="1:6" ht="14.25">
      <c r="A529" s="2945">
        <v>527</v>
      </c>
      <c r="B529" s="2947" t="s">
        <v>3069</v>
      </c>
      <c r="C529" s="2945" t="s">
        <v>70</v>
      </c>
      <c r="D529" s="2945" t="s">
        <v>3451</v>
      </c>
      <c r="E529" s="2945">
        <v>68.209999999999994</v>
      </c>
      <c r="F529" s="2947" t="s">
        <v>3132</v>
      </c>
    </row>
    <row r="530" spans="1:6" ht="14.25">
      <c r="A530" s="2945">
        <v>528</v>
      </c>
      <c r="B530" s="2947" t="s">
        <v>3069</v>
      </c>
      <c r="C530" s="2945" t="s">
        <v>70</v>
      </c>
      <c r="D530" s="2945" t="s">
        <v>3452</v>
      </c>
      <c r="E530" s="2945">
        <v>68.209999999999994</v>
      </c>
      <c r="F530" s="2947" t="s">
        <v>3132</v>
      </c>
    </row>
    <row r="531" spans="1:6" ht="14.25">
      <c r="A531" s="2945">
        <v>529</v>
      </c>
      <c r="B531" s="2947" t="s">
        <v>3069</v>
      </c>
      <c r="C531" s="2945" t="s">
        <v>70</v>
      </c>
      <c r="D531" s="2945" t="s">
        <v>3453</v>
      </c>
      <c r="E531" s="2945">
        <v>137.63</v>
      </c>
      <c r="F531" s="2947" t="s">
        <v>3132</v>
      </c>
    </row>
    <row r="532" spans="1:6" ht="14.25">
      <c r="A532" s="2945">
        <v>530</v>
      </c>
      <c r="B532" s="2947" t="s">
        <v>3069</v>
      </c>
      <c r="C532" s="2945" t="s">
        <v>70</v>
      </c>
      <c r="D532" s="2945" t="s">
        <v>3454</v>
      </c>
      <c r="E532" s="2945">
        <v>68.209999999999994</v>
      </c>
      <c r="F532" s="2947" t="s">
        <v>3132</v>
      </c>
    </row>
    <row r="533" spans="1:6" ht="14.25">
      <c r="A533" s="2945">
        <v>531</v>
      </c>
      <c r="B533" s="2947" t="s">
        <v>3069</v>
      </c>
      <c r="C533" s="2945" t="s">
        <v>70</v>
      </c>
      <c r="D533" s="2945" t="s">
        <v>3455</v>
      </c>
      <c r="E533" s="2945">
        <v>68.209999999999994</v>
      </c>
      <c r="F533" s="2947" t="s">
        <v>3132</v>
      </c>
    </row>
    <row r="534" spans="1:6" ht="14.25">
      <c r="A534" s="2945">
        <v>532</v>
      </c>
      <c r="B534" s="2947" t="s">
        <v>3069</v>
      </c>
      <c r="C534" s="2945" t="s">
        <v>70</v>
      </c>
      <c r="D534" s="2945" t="s">
        <v>3456</v>
      </c>
      <c r="E534" s="2945">
        <v>68.209999999999994</v>
      </c>
      <c r="F534" s="2947" t="s">
        <v>3132</v>
      </c>
    </row>
    <row r="535" spans="1:6" ht="14.25">
      <c r="A535" s="2945">
        <v>533</v>
      </c>
      <c r="B535" s="2947" t="s">
        <v>3069</v>
      </c>
      <c r="C535" s="2945" t="s">
        <v>70</v>
      </c>
      <c r="D535" s="2945" t="s">
        <v>3457</v>
      </c>
      <c r="E535" s="2945">
        <v>68.209999999999994</v>
      </c>
      <c r="F535" s="2947" t="s">
        <v>3132</v>
      </c>
    </row>
    <row r="536" spans="1:6" ht="14.25">
      <c r="A536" s="2945">
        <v>534</v>
      </c>
      <c r="B536" s="2947" t="s">
        <v>3069</v>
      </c>
      <c r="C536" s="2945" t="s">
        <v>70</v>
      </c>
      <c r="D536" s="2945" t="s">
        <v>3458</v>
      </c>
      <c r="E536" s="2945">
        <v>68.209999999999994</v>
      </c>
      <c r="F536" s="2947" t="s">
        <v>3132</v>
      </c>
    </row>
    <row r="537" spans="1:6" ht="14.25">
      <c r="A537" s="2945">
        <v>535</v>
      </c>
      <c r="B537" s="2947" t="s">
        <v>3069</v>
      </c>
      <c r="C537" s="2945" t="s">
        <v>70</v>
      </c>
      <c r="D537" s="2945" t="s">
        <v>3459</v>
      </c>
      <c r="E537" s="2945">
        <v>68.209999999999994</v>
      </c>
      <c r="F537" s="2947" t="s">
        <v>3132</v>
      </c>
    </row>
    <row r="538" spans="1:6" ht="14.25">
      <c r="A538" s="2945">
        <v>536</v>
      </c>
      <c r="B538" s="2947" t="s">
        <v>3069</v>
      </c>
      <c r="C538" s="2945" t="s">
        <v>70</v>
      </c>
      <c r="D538" s="2945" t="s">
        <v>3460</v>
      </c>
      <c r="E538" s="2945">
        <v>136.41</v>
      </c>
      <c r="F538" s="2947" t="s">
        <v>3132</v>
      </c>
    </row>
    <row r="539" spans="1:6" ht="14.25">
      <c r="A539" s="2945">
        <v>537</v>
      </c>
      <c r="B539" s="2947" t="s">
        <v>3069</v>
      </c>
      <c r="C539" s="2945" t="s">
        <v>70</v>
      </c>
      <c r="D539" s="2945" t="s">
        <v>3461</v>
      </c>
      <c r="E539" s="2945">
        <v>137.63</v>
      </c>
      <c r="F539" s="2947" t="s">
        <v>3132</v>
      </c>
    </row>
    <row r="540" spans="1:6" ht="14.25">
      <c r="A540" s="2945">
        <v>538</v>
      </c>
      <c r="B540" s="2947" t="s">
        <v>3069</v>
      </c>
      <c r="C540" s="2945" t="s">
        <v>70</v>
      </c>
      <c r="D540" s="2945" t="s">
        <v>3462</v>
      </c>
      <c r="E540" s="2945">
        <v>68.209999999999994</v>
      </c>
      <c r="F540" s="2947" t="s">
        <v>3132</v>
      </c>
    </row>
    <row r="541" spans="1:6" ht="14.25">
      <c r="A541" s="2945">
        <v>539</v>
      </c>
      <c r="B541" s="2947" t="s">
        <v>3069</v>
      </c>
      <c r="C541" s="2945" t="s">
        <v>70</v>
      </c>
      <c r="D541" s="2945" t="s">
        <v>3463</v>
      </c>
      <c r="E541" s="2945">
        <v>58.46</v>
      </c>
      <c r="F541" s="2947" t="s">
        <v>3132</v>
      </c>
    </row>
    <row r="542" spans="1:6" ht="14.25">
      <c r="A542" s="2945">
        <v>540</v>
      </c>
      <c r="B542" s="2947" t="s">
        <v>3069</v>
      </c>
      <c r="C542" s="2945" t="s">
        <v>70</v>
      </c>
      <c r="D542" s="2945" t="s">
        <v>3464</v>
      </c>
      <c r="E542" s="2945">
        <v>105.23</v>
      </c>
      <c r="F542" s="2947" t="s">
        <v>3132</v>
      </c>
    </row>
    <row r="543" spans="1:6" ht="14.25">
      <c r="A543" s="2945">
        <v>541</v>
      </c>
      <c r="B543" s="2947" t="s">
        <v>3069</v>
      </c>
      <c r="C543" s="2945" t="s">
        <v>70</v>
      </c>
      <c r="D543" s="2945" t="s">
        <v>3465</v>
      </c>
      <c r="E543" s="2945">
        <v>105.23</v>
      </c>
      <c r="F543" s="2947" t="s">
        <v>3132</v>
      </c>
    </row>
    <row r="544" spans="1:6" ht="14.25">
      <c r="A544" s="2945">
        <v>542</v>
      </c>
      <c r="B544" s="2947" t="s">
        <v>3069</v>
      </c>
      <c r="C544" s="2945" t="s">
        <v>70</v>
      </c>
      <c r="D544" s="2945" t="s">
        <v>3466</v>
      </c>
      <c r="E544" s="2945">
        <v>105.23</v>
      </c>
      <c r="F544" s="2947" t="s">
        <v>3132</v>
      </c>
    </row>
    <row r="545" spans="1:6" ht="14.25">
      <c r="A545" s="2945">
        <v>543</v>
      </c>
      <c r="B545" s="2947" t="s">
        <v>3069</v>
      </c>
      <c r="C545" s="2945" t="s">
        <v>70</v>
      </c>
      <c r="D545" s="2945" t="s">
        <v>3467</v>
      </c>
      <c r="E545" s="2945">
        <v>52.62</v>
      </c>
      <c r="F545" s="2947" t="s">
        <v>3132</v>
      </c>
    </row>
    <row r="546" spans="1:6" ht="14.25">
      <c r="A546" s="2945">
        <v>544</v>
      </c>
      <c r="B546" s="2947" t="s">
        <v>3069</v>
      </c>
      <c r="C546" s="2945" t="s">
        <v>70</v>
      </c>
      <c r="D546" s="2945" t="s">
        <v>3468</v>
      </c>
      <c r="E546" s="2945">
        <v>105.23</v>
      </c>
      <c r="F546" s="2947" t="s">
        <v>3132</v>
      </c>
    </row>
    <row r="547" spans="1:6" ht="14.25">
      <c r="A547" s="2945">
        <v>545</v>
      </c>
      <c r="B547" s="2947" t="s">
        <v>3069</v>
      </c>
      <c r="C547" s="2945" t="s">
        <v>70</v>
      </c>
      <c r="D547" s="2945" t="s">
        <v>3469</v>
      </c>
      <c r="E547" s="2945">
        <v>105.23</v>
      </c>
      <c r="F547" s="2947" t="s">
        <v>3132</v>
      </c>
    </row>
    <row r="548" spans="1:6" ht="14.25">
      <c r="A548" s="2945">
        <v>546</v>
      </c>
      <c r="B548" s="2947" t="s">
        <v>3069</v>
      </c>
      <c r="C548" s="2945" t="s">
        <v>70</v>
      </c>
      <c r="D548" s="2945" t="s">
        <v>3470</v>
      </c>
      <c r="E548" s="2945">
        <v>68.209999999999994</v>
      </c>
      <c r="F548" s="2947" t="s">
        <v>3132</v>
      </c>
    </row>
    <row r="549" spans="1:6" ht="14.25">
      <c r="A549" s="2945">
        <v>547</v>
      </c>
      <c r="B549" s="2947" t="s">
        <v>3069</v>
      </c>
      <c r="C549" s="2945" t="s">
        <v>70</v>
      </c>
      <c r="D549" s="2945" t="s">
        <v>3471</v>
      </c>
      <c r="E549" s="2945">
        <v>68.209999999999994</v>
      </c>
      <c r="F549" s="2947" t="s">
        <v>3132</v>
      </c>
    </row>
    <row r="550" spans="1:6" ht="14.25">
      <c r="A550" s="2945">
        <v>548</v>
      </c>
      <c r="B550" s="2947" t="s">
        <v>3069</v>
      </c>
      <c r="C550" s="2945" t="s">
        <v>70</v>
      </c>
      <c r="D550" s="2945" t="s">
        <v>3472</v>
      </c>
      <c r="E550" s="2945">
        <v>68.209999999999994</v>
      </c>
      <c r="F550" s="2947" t="s">
        <v>3132</v>
      </c>
    </row>
    <row r="551" spans="1:6" ht="14.25">
      <c r="A551" s="2945">
        <v>549</v>
      </c>
      <c r="B551" s="2947" t="s">
        <v>3069</v>
      </c>
      <c r="C551" s="2945" t="s">
        <v>70</v>
      </c>
      <c r="D551" s="2945" t="s">
        <v>3473</v>
      </c>
      <c r="E551" s="2945">
        <v>35.729999999999997</v>
      </c>
      <c r="F551" s="2947" t="s">
        <v>3132</v>
      </c>
    </row>
    <row r="552" spans="1:6" ht="14.25">
      <c r="A552" s="2945">
        <v>550</v>
      </c>
      <c r="B552" s="2947" t="s">
        <v>3069</v>
      </c>
      <c r="C552" s="2945" t="s">
        <v>70</v>
      </c>
      <c r="D552" s="2945" t="s">
        <v>3474</v>
      </c>
      <c r="E552" s="2945">
        <v>35.729999999999997</v>
      </c>
      <c r="F552" s="2947" t="s">
        <v>3132</v>
      </c>
    </row>
    <row r="553" spans="1:6" ht="14.25">
      <c r="A553" s="2945">
        <v>551</v>
      </c>
      <c r="B553" s="2947" t="s">
        <v>3069</v>
      </c>
      <c r="C553" s="2945" t="s">
        <v>70</v>
      </c>
      <c r="D553" s="2945" t="s">
        <v>3475</v>
      </c>
      <c r="E553" s="2945">
        <v>68.209999999999994</v>
      </c>
      <c r="F553" s="2947" t="s">
        <v>3132</v>
      </c>
    </row>
    <row r="554" spans="1:6" ht="14.25">
      <c r="A554" s="2945">
        <v>552</v>
      </c>
      <c r="B554" s="2947" t="s">
        <v>3069</v>
      </c>
      <c r="C554" s="2945" t="s">
        <v>70</v>
      </c>
      <c r="D554" s="2945" t="s">
        <v>3476</v>
      </c>
      <c r="E554" s="2945">
        <v>68.209999999999994</v>
      </c>
      <c r="F554" s="2947" t="s">
        <v>3132</v>
      </c>
    </row>
    <row r="555" spans="1:6" ht="14.25">
      <c r="A555" s="2945">
        <v>553</v>
      </c>
      <c r="B555" s="2947" t="s">
        <v>3069</v>
      </c>
      <c r="C555" s="2945" t="s">
        <v>70</v>
      </c>
      <c r="D555" s="2945" t="s">
        <v>3477</v>
      </c>
      <c r="E555" s="2945">
        <v>136.41</v>
      </c>
      <c r="F555" s="2947" t="s">
        <v>3132</v>
      </c>
    </row>
    <row r="556" spans="1:6" ht="14.25">
      <c r="A556" s="2945">
        <v>554</v>
      </c>
      <c r="B556" s="2947" t="s">
        <v>3069</v>
      </c>
      <c r="C556" s="2945" t="s">
        <v>70</v>
      </c>
      <c r="D556" s="2945" t="s">
        <v>3478</v>
      </c>
      <c r="E556" s="2945">
        <v>68.209999999999994</v>
      </c>
      <c r="F556" s="2947" t="s">
        <v>3132</v>
      </c>
    </row>
    <row r="557" spans="1:6" ht="14.25">
      <c r="A557" s="2945">
        <v>555</v>
      </c>
      <c r="B557" s="2947" t="s">
        <v>3069</v>
      </c>
      <c r="C557" s="2945" t="s">
        <v>70</v>
      </c>
      <c r="D557" s="2945" t="s">
        <v>3479</v>
      </c>
      <c r="E557" s="2945">
        <v>68.209999999999994</v>
      </c>
      <c r="F557" s="2947" t="s">
        <v>3132</v>
      </c>
    </row>
    <row r="558" spans="1:6" ht="14.25">
      <c r="A558" s="2945">
        <v>556</v>
      </c>
      <c r="B558" s="2947" t="s">
        <v>3069</v>
      </c>
      <c r="C558" s="2945" t="s">
        <v>70</v>
      </c>
      <c r="D558" s="2945" t="s">
        <v>3480</v>
      </c>
      <c r="E558" s="2945">
        <v>68.209999999999994</v>
      </c>
      <c r="F558" s="2947" t="s">
        <v>3132</v>
      </c>
    </row>
    <row r="559" spans="1:6" ht="14.25">
      <c r="A559" s="2945">
        <v>557</v>
      </c>
      <c r="B559" s="2947" t="s">
        <v>3069</v>
      </c>
      <c r="C559" s="2945" t="s">
        <v>70</v>
      </c>
      <c r="D559" s="2945" t="s">
        <v>3481</v>
      </c>
      <c r="E559" s="2945">
        <v>136.41</v>
      </c>
      <c r="F559" s="2947" t="s">
        <v>3132</v>
      </c>
    </row>
    <row r="560" spans="1:6" ht="14.25">
      <c r="A560" s="2945">
        <v>558</v>
      </c>
      <c r="B560" s="2947" t="s">
        <v>3069</v>
      </c>
      <c r="C560" s="2945" t="s">
        <v>70</v>
      </c>
      <c r="D560" s="2945" t="s">
        <v>3482</v>
      </c>
      <c r="E560" s="2945">
        <v>136.41</v>
      </c>
      <c r="F560" s="2947" t="s">
        <v>3132</v>
      </c>
    </row>
    <row r="561" spans="1:6" ht="14.25">
      <c r="A561" s="2945">
        <v>559</v>
      </c>
      <c r="B561" s="2947" t="s">
        <v>3069</v>
      </c>
      <c r="C561" s="2945" t="s">
        <v>70</v>
      </c>
      <c r="D561" s="2945" t="s">
        <v>3483</v>
      </c>
      <c r="E561" s="2945">
        <v>58.46</v>
      </c>
      <c r="F561" s="2947" t="s">
        <v>3132</v>
      </c>
    </row>
    <row r="562" spans="1:6" ht="14.25">
      <c r="A562" s="2945">
        <v>560</v>
      </c>
      <c r="B562" s="2947" t="s">
        <v>3069</v>
      </c>
      <c r="C562" s="2945" t="s">
        <v>70</v>
      </c>
      <c r="D562" s="2945" t="s">
        <v>3484</v>
      </c>
      <c r="E562" s="2945">
        <v>58.46</v>
      </c>
      <c r="F562" s="2947" t="s">
        <v>3132</v>
      </c>
    </row>
    <row r="563" spans="1:6" ht="14.25">
      <c r="A563" s="2945">
        <v>561</v>
      </c>
      <c r="B563" s="2947" t="s">
        <v>3069</v>
      </c>
      <c r="C563" s="2945" t="s">
        <v>70</v>
      </c>
      <c r="D563" s="2945" t="s">
        <v>3485</v>
      </c>
      <c r="E563" s="2945">
        <v>68.209999999999994</v>
      </c>
      <c r="F563" s="2947" t="s">
        <v>3132</v>
      </c>
    </row>
    <row r="564" spans="1:6" ht="14.25">
      <c r="A564" s="2945">
        <v>562</v>
      </c>
      <c r="B564" s="2947" t="s">
        <v>3069</v>
      </c>
      <c r="C564" s="2945" t="s">
        <v>70</v>
      </c>
      <c r="D564" s="2945" t="s">
        <v>3486</v>
      </c>
      <c r="E564" s="2945">
        <v>136.41</v>
      </c>
      <c r="F564" s="2947" t="s">
        <v>3132</v>
      </c>
    </row>
    <row r="565" spans="1:6" ht="14.25">
      <c r="A565" s="2945">
        <v>563</v>
      </c>
      <c r="B565" s="2947" t="s">
        <v>3069</v>
      </c>
      <c r="C565" s="2945" t="s">
        <v>70</v>
      </c>
      <c r="D565" s="2945" t="s">
        <v>3487</v>
      </c>
      <c r="E565" s="2945">
        <v>136.41</v>
      </c>
      <c r="F565" s="2947" t="s">
        <v>3132</v>
      </c>
    </row>
    <row r="566" spans="1:6" ht="14.25">
      <c r="A566" s="2945">
        <v>564</v>
      </c>
      <c r="B566" s="2947" t="s">
        <v>3069</v>
      </c>
      <c r="C566" s="2945" t="s">
        <v>70</v>
      </c>
      <c r="D566" s="2945" t="s">
        <v>3488</v>
      </c>
      <c r="E566" s="2945">
        <v>136.41</v>
      </c>
      <c r="F566" s="2947" t="s">
        <v>3132</v>
      </c>
    </row>
    <row r="567" spans="1:6" ht="14.25">
      <c r="A567" s="2945">
        <v>565</v>
      </c>
      <c r="B567" s="2947" t="s">
        <v>3069</v>
      </c>
      <c r="C567" s="2945" t="s">
        <v>70</v>
      </c>
      <c r="D567" s="2945" t="s">
        <v>3489</v>
      </c>
      <c r="E567" s="2945">
        <v>68.209999999999994</v>
      </c>
      <c r="F567" s="2947" t="s">
        <v>3132</v>
      </c>
    </row>
    <row r="568" spans="1:6" ht="14.25">
      <c r="A568" s="2945">
        <v>566</v>
      </c>
      <c r="B568" s="2947" t="s">
        <v>3069</v>
      </c>
      <c r="C568" s="2945" t="s">
        <v>70</v>
      </c>
      <c r="D568" s="2945" t="s">
        <v>3490</v>
      </c>
      <c r="E568" s="2945">
        <v>68.209999999999994</v>
      </c>
      <c r="F568" s="2947" t="s">
        <v>3132</v>
      </c>
    </row>
    <row r="569" spans="1:6" ht="14.25">
      <c r="A569" s="2945">
        <v>567</v>
      </c>
      <c r="B569" s="2947" t="s">
        <v>3069</v>
      </c>
      <c r="C569" s="2945" t="s">
        <v>70</v>
      </c>
      <c r="D569" s="2945" t="s">
        <v>3491</v>
      </c>
      <c r="E569" s="2945">
        <v>68.209999999999994</v>
      </c>
      <c r="F569" s="2947" t="s">
        <v>3132</v>
      </c>
    </row>
    <row r="570" spans="1:6" ht="14.25">
      <c r="A570" s="2945">
        <v>568</v>
      </c>
      <c r="B570" s="2947" t="s">
        <v>3069</v>
      </c>
      <c r="C570" s="2945" t="s">
        <v>70</v>
      </c>
      <c r="D570" s="2945" t="s">
        <v>3492</v>
      </c>
      <c r="E570" s="2945">
        <v>68.209999999999994</v>
      </c>
      <c r="F570" s="2947" t="s">
        <v>3132</v>
      </c>
    </row>
    <row r="571" spans="1:6" ht="14.25">
      <c r="A571" s="2945">
        <v>569</v>
      </c>
      <c r="B571" s="2947" t="s">
        <v>3069</v>
      </c>
      <c r="C571" s="2945" t="s">
        <v>70</v>
      </c>
      <c r="D571" s="2945" t="s">
        <v>3493</v>
      </c>
      <c r="E571" s="2945">
        <v>68.209999999999994</v>
      </c>
      <c r="F571" s="2947" t="s">
        <v>3132</v>
      </c>
    </row>
    <row r="572" spans="1:6" ht="14.25">
      <c r="A572" s="2945">
        <v>570</v>
      </c>
      <c r="B572" s="2947" t="s">
        <v>3069</v>
      </c>
      <c r="C572" s="2945" t="s">
        <v>70</v>
      </c>
      <c r="D572" s="2945" t="s">
        <v>3494</v>
      </c>
      <c r="E572" s="2945">
        <v>68.209999999999994</v>
      </c>
      <c r="F572" s="2947" t="s">
        <v>3132</v>
      </c>
    </row>
    <row r="573" spans="1:6" ht="14.25">
      <c r="A573" s="2945">
        <v>571</v>
      </c>
      <c r="B573" s="2947" t="s">
        <v>3069</v>
      </c>
      <c r="C573" s="2945" t="s">
        <v>70</v>
      </c>
      <c r="D573" s="2945" t="s">
        <v>3495</v>
      </c>
      <c r="E573" s="2945">
        <v>136.41</v>
      </c>
      <c r="F573" s="2947" t="s">
        <v>3132</v>
      </c>
    </row>
    <row r="574" spans="1:6" ht="14.25">
      <c r="A574" s="2945">
        <v>572</v>
      </c>
      <c r="B574" s="2947" t="s">
        <v>3069</v>
      </c>
      <c r="C574" s="2945" t="s">
        <v>70</v>
      </c>
      <c r="D574" s="2945" t="s">
        <v>3496</v>
      </c>
      <c r="E574" s="2945">
        <v>136.41</v>
      </c>
      <c r="F574" s="2947" t="s">
        <v>3132</v>
      </c>
    </row>
    <row r="575" spans="1:6" ht="14.25">
      <c r="A575" s="2945">
        <v>573</v>
      </c>
      <c r="B575" s="2947" t="s">
        <v>3069</v>
      </c>
      <c r="C575" s="2945" t="s">
        <v>70</v>
      </c>
      <c r="D575" s="2945" t="s">
        <v>3497</v>
      </c>
      <c r="E575" s="2945">
        <v>68.209999999999994</v>
      </c>
      <c r="F575" s="2947" t="s">
        <v>3132</v>
      </c>
    </row>
    <row r="576" spans="1:6" ht="14.25">
      <c r="A576" s="2945">
        <v>574</v>
      </c>
      <c r="B576" s="2947" t="s">
        <v>3069</v>
      </c>
      <c r="C576" s="2945" t="s">
        <v>70</v>
      </c>
      <c r="D576" s="2945" t="s">
        <v>3498</v>
      </c>
      <c r="E576" s="2945">
        <v>68.209999999999994</v>
      </c>
      <c r="F576" s="2947" t="s">
        <v>3132</v>
      </c>
    </row>
    <row r="577" spans="1:6" ht="14.25">
      <c r="A577" s="2945">
        <v>575</v>
      </c>
      <c r="B577" s="2947" t="s">
        <v>3069</v>
      </c>
      <c r="C577" s="2945" t="s">
        <v>70</v>
      </c>
      <c r="D577" s="2945" t="s">
        <v>3499</v>
      </c>
      <c r="E577" s="2945">
        <v>136.41</v>
      </c>
      <c r="F577" s="2947" t="s">
        <v>3132</v>
      </c>
    </row>
    <row r="578" spans="1:6" ht="14.25">
      <c r="A578" s="2945">
        <v>576</v>
      </c>
      <c r="B578" s="2947" t="s">
        <v>3069</v>
      </c>
      <c r="C578" s="2945" t="s">
        <v>70</v>
      </c>
      <c r="D578" s="2945" t="s">
        <v>3500</v>
      </c>
      <c r="E578" s="2945">
        <v>136.41</v>
      </c>
      <c r="F578" s="2947" t="s">
        <v>3132</v>
      </c>
    </row>
    <row r="579" spans="1:6" ht="14.25">
      <c r="A579" s="2945">
        <v>577</v>
      </c>
      <c r="B579" s="2947" t="s">
        <v>3069</v>
      </c>
      <c r="C579" s="2945" t="s">
        <v>70</v>
      </c>
      <c r="D579" s="2945" t="s">
        <v>3501</v>
      </c>
      <c r="E579" s="2945">
        <v>58.46</v>
      </c>
      <c r="F579" s="2947" t="s">
        <v>3132</v>
      </c>
    </row>
    <row r="580" spans="1:6" ht="14.25">
      <c r="A580" s="2945">
        <v>578</v>
      </c>
      <c r="B580" s="2947" t="s">
        <v>3069</v>
      </c>
      <c r="C580" s="2945" t="s">
        <v>70</v>
      </c>
      <c r="D580" s="2945" t="s">
        <v>3502</v>
      </c>
      <c r="E580" s="2945">
        <v>58.46</v>
      </c>
      <c r="F580" s="2947" t="s">
        <v>3132</v>
      </c>
    </row>
    <row r="581" spans="1:6" ht="14.25">
      <c r="A581" s="2945">
        <v>579</v>
      </c>
      <c r="B581" s="2947" t="s">
        <v>3069</v>
      </c>
      <c r="C581" s="2945" t="s">
        <v>70</v>
      </c>
      <c r="D581" s="2945" t="s">
        <v>3503</v>
      </c>
      <c r="E581" s="2945">
        <v>58.46</v>
      </c>
      <c r="F581" s="2947" t="s">
        <v>3132</v>
      </c>
    </row>
    <row r="582" spans="1:6" ht="14.25">
      <c r="A582" s="2945">
        <v>580</v>
      </c>
      <c r="B582" s="2947" t="s">
        <v>3069</v>
      </c>
      <c r="C582" s="2945" t="s">
        <v>70</v>
      </c>
      <c r="D582" s="2945" t="s">
        <v>3504</v>
      </c>
      <c r="E582" s="2945">
        <v>58.46</v>
      </c>
      <c r="F582" s="2947" t="s">
        <v>3132</v>
      </c>
    </row>
    <row r="583" spans="1:6" ht="14.25">
      <c r="A583" s="2945">
        <v>581</v>
      </c>
      <c r="B583" s="2947" t="s">
        <v>3069</v>
      </c>
      <c r="C583" s="2945" t="s">
        <v>70</v>
      </c>
      <c r="D583" s="2945" t="s">
        <v>3505</v>
      </c>
      <c r="E583" s="2945">
        <v>52.62</v>
      </c>
      <c r="F583" s="2947" t="s">
        <v>3132</v>
      </c>
    </row>
    <row r="584" spans="1:6" ht="14.25">
      <c r="A584" s="2945">
        <v>582</v>
      </c>
      <c r="B584" s="2947" t="s">
        <v>3069</v>
      </c>
      <c r="C584" s="2945" t="s">
        <v>70</v>
      </c>
      <c r="D584" s="2945" t="s">
        <v>3506</v>
      </c>
      <c r="E584" s="2945">
        <v>52.62</v>
      </c>
      <c r="F584" s="2947" t="s">
        <v>3132</v>
      </c>
    </row>
    <row r="585" spans="1:6" ht="14.25">
      <c r="A585" s="2945">
        <v>583</v>
      </c>
      <c r="B585" s="2947" t="s">
        <v>3069</v>
      </c>
      <c r="C585" s="2945" t="s">
        <v>70</v>
      </c>
      <c r="D585" s="2945" t="s">
        <v>3507</v>
      </c>
      <c r="E585" s="2945">
        <v>52.62</v>
      </c>
      <c r="F585" s="2947" t="s">
        <v>3132</v>
      </c>
    </row>
    <row r="586" spans="1:6" ht="14.25">
      <c r="A586" s="2945">
        <v>584</v>
      </c>
      <c r="B586" s="2947" t="s">
        <v>3069</v>
      </c>
      <c r="C586" s="2945" t="s">
        <v>70</v>
      </c>
      <c r="D586" s="2945" t="s">
        <v>3508</v>
      </c>
      <c r="E586" s="2945">
        <v>52.62</v>
      </c>
      <c r="F586" s="2947" t="s">
        <v>3132</v>
      </c>
    </row>
    <row r="587" spans="1:6" ht="14.25">
      <c r="A587" s="2945">
        <v>585</v>
      </c>
      <c r="B587" s="2947" t="s">
        <v>3069</v>
      </c>
      <c r="C587" s="2945" t="s">
        <v>70</v>
      </c>
      <c r="D587" s="2945" t="s">
        <v>3509</v>
      </c>
      <c r="E587" s="2945">
        <v>68.209999999999994</v>
      </c>
      <c r="F587" s="2947" t="s">
        <v>3132</v>
      </c>
    </row>
    <row r="588" spans="1:6" ht="14.25">
      <c r="A588" s="2945">
        <v>586</v>
      </c>
      <c r="B588" s="2947" t="s">
        <v>3069</v>
      </c>
      <c r="C588" s="2945" t="s">
        <v>70</v>
      </c>
      <c r="D588" s="2945" t="s">
        <v>3510</v>
      </c>
      <c r="E588" s="2945">
        <v>68.209999999999994</v>
      </c>
      <c r="F588" s="2947" t="s">
        <v>3132</v>
      </c>
    </row>
    <row r="589" spans="1:6" ht="14.25">
      <c r="A589" s="2945">
        <v>587</v>
      </c>
      <c r="B589" s="2947" t="s">
        <v>3069</v>
      </c>
      <c r="C589" s="2945" t="s">
        <v>70</v>
      </c>
      <c r="D589" s="2945" t="s">
        <v>3511</v>
      </c>
      <c r="E589" s="2945">
        <v>68.209999999999994</v>
      </c>
      <c r="F589" s="2947" t="s">
        <v>3132</v>
      </c>
    </row>
    <row r="590" spans="1:6" ht="14.25">
      <c r="A590" s="2945">
        <v>588</v>
      </c>
      <c r="B590" s="2947" t="s">
        <v>3069</v>
      </c>
      <c r="C590" s="2945" t="s">
        <v>70</v>
      </c>
      <c r="D590" s="2945" t="s">
        <v>3512</v>
      </c>
      <c r="E590" s="2945">
        <v>52.62</v>
      </c>
      <c r="F590" s="2947" t="s">
        <v>3132</v>
      </c>
    </row>
    <row r="591" spans="1:6" ht="14.25">
      <c r="A591" s="2945">
        <v>589</v>
      </c>
      <c r="B591" s="2947" t="s">
        <v>3069</v>
      </c>
      <c r="C591" s="2945" t="s">
        <v>70</v>
      </c>
      <c r="D591" s="2945" t="s">
        <v>3513</v>
      </c>
      <c r="E591" s="2945">
        <v>52.62</v>
      </c>
      <c r="F591" s="2947" t="s">
        <v>3132</v>
      </c>
    </row>
    <row r="592" spans="1:6" ht="14.25">
      <c r="A592" s="2945">
        <v>590</v>
      </c>
      <c r="B592" s="2947" t="s">
        <v>3069</v>
      </c>
      <c r="C592" s="2945" t="s">
        <v>70</v>
      </c>
      <c r="D592" s="2945" t="s">
        <v>3514</v>
      </c>
      <c r="E592" s="2945">
        <v>68.209999999999994</v>
      </c>
      <c r="F592" s="2947" t="s">
        <v>3132</v>
      </c>
    </row>
    <row r="593" spans="1:6" ht="14.25">
      <c r="A593" s="2945">
        <v>591</v>
      </c>
      <c r="B593" s="2947" t="s">
        <v>3069</v>
      </c>
      <c r="C593" s="2945" t="s">
        <v>70</v>
      </c>
      <c r="D593" s="2945" t="s">
        <v>3515</v>
      </c>
      <c r="E593" s="2945">
        <v>68.209999999999994</v>
      </c>
      <c r="F593" s="2947" t="s">
        <v>3132</v>
      </c>
    </row>
    <row r="594" spans="1:6" ht="14.25">
      <c r="A594" s="2945">
        <v>592</v>
      </c>
      <c r="B594" s="2947" t="s">
        <v>3069</v>
      </c>
      <c r="C594" s="2945" t="s">
        <v>70</v>
      </c>
      <c r="D594" s="2945" t="s">
        <v>3516</v>
      </c>
      <c r="E594" s="2945">
        <v>52.62</v>
      </c>
      <c r="F594" s="2947" t="s">
        <v>3132</v>
      </c>
    </row>
    <row r="595" spans="1:6" ht="14.25">
      <c r="A595" s="2945">
        <v>593</v>
      </c>
      <c r="B595" s="2947" t="s">
        <v>3069</v>
      </c>
      <c r="C595" s="2945" t="s">
        <v>70</v>
      </c>
      <c r="D595" s="2945" t="s">
        <v>3517</v>
      </c>
      <c r="E595" s="2945">
        <v>52.62</v>
      </c>
      <c r="F595" s="2947" t="s">
        <v>3132</v>
      </c>
    </row>
    <row r="596" spans="1:6" ht="14.25">
      <c r="A596" s="2945">
        <v>594</v>
      </c>
      <c r="B596" s="2947" t="s">
        <v>3069</v>
      </c>
      <c r="C596" s="2945" t="s">
        <v>70</v>
      </c>
      <c r="D596" s="2945" t="s">
        <v>3518</v>
      </c>
      <c r="E596" s="2945">
        <v>35.729999999999997</v>
      </c>
      <c r="F596" s="2947" t="s">
        <v>3132</v>
      </c>
    </row>
    <row r="597" spans="1:6" ht="14.25">
      <c r="A597" s="2945">
        <v>595</v>
      </c>
      <c r="B597" s="2947" t="s">
        <v>3069</v>
      </c>
      <c r="C597" s="2945" t="s">
        <v>70</v>
      </c>
      <c r="D597" s="2945" t="s">
        <v>3519</v>
      </c>
      <c r="E597" s="2945">
        <v>52.62</v>
      </c>
      <c r="F597" s="2947" t="s">
        <v>3132</v>
      </c>
    </row>
    <row r="598" spans="1:6" ht="14.25">
      <c r="A598" s="2945">
        <v>596</v>
      </c>
      <c r="B598" s="2947" t="s">
        <v>3069</v>
      </c>
      <c r="C598" s="2945" t="s">
        <v>70</v>
      </c>
      <c r="D598" s="2945" t="s">
        <v>3520</v>
      </c>
      <c r="E598" s="2945">
        <v>136.41</v>
      </c>
      <c r="F598" s="2947" t="s">
        <v>3132</v>
      </c>
    </row>
    <row r="599" spans="1:6" ht="14.25">
      <c r="A599" s="2945">
        <v>597</v>
      </c>
      <c r="B599" s="2947" t="s">
        <v>3069</v>
      </c>
      <c r="C599" s="2945" t="s">
        <v>70</v>
      </c>
      <c r="D599" s="2945" t="s">
        <v>3521</v>
      </c>
      <c r="E599" s="2945">
        <v>136.41</v>
      </c>
      <c r="F599" s="2947" t="s">
        <v>3132</v>
      </c>
    </row>
    <row r="600" spans="1:6" ht="14.25">
      <c r="A600" s="2945">
        <v>598</v>
      </c>
      <c r="B600" s="2947" t="s">
        <v>3069</v>
      </c>
      <c r="C600" s="2945" t="s">
        <v>70</v>
      </c>
      <c r="D600" s="2945" t="s">
        <v>3522</v>
      </c>
      <c r="E600" s="2945">
        <v>52.62</v>
      </c>
      <c r="F600" s="2947" t="s">
        <v>3132</v>
      </c>
    </row>
    <row r="601" spans="1:6" ht="14.25">
      <c r="A601" s="2945">
        <v>599</v>
      </c>
      <c r="B601" s="2947" t="s">
        <v>3069</v>
      </c>
      <c r="C601" s="2945" t="s">
        <v>70</v>
      </c>
      <c r="D601" s="2945" t="s">
        <v>3523</v>
      </c>
      <c r="E601" s="2945">
        <v>52.62</v>
      </c>
      <c r="F601" s="2947" t="s">
        <v>3132</v>
      </c>
    </row>
    <row r="602" spans="1:6" ht="14.25">
      <c r="A602" s="2945">
        <v>600</v>
      </c>
      <c r="B602" s="2947" t="s">
        <v>3069</v>
      </c>
      <c r="C602" s="2945" t="s">
        <v>70</v>
      </c>
      <c r="D602" s="2945" t="s">
        <v>3524</v>
      </c>
      <c r="E602" s="2945">
        <v>68.209999999999994</v>
      </c>
      <c r="F602" s="2947" t="s">
        <v>3132</v>
      </c>
    </row>
    <row r="603" spans="1:6" ht="14.25">
      <c r="A603" s="2945">
        <v>601</v>
      </c>
      <c r="B603" s="2947" t="s">
        <v>3069</v>
      </c>
      <c r="C603" s="2945" t="s">
        <v>70</v>
      </c>
      <c r="D603" s="2945" t="s">
        <v>3525</v>
      </c>
      <c r="E603" s="2945">
        <v>68.209999999999994</v>
      </c>
      <c r="F603" s="2947" t="s">
        <v>3132</v>
      </c>
    </row>
    <row r="604" spans="1:6" ht="14.25">
      <c r="A604" s="2945">
        <v>602</v>
      </c>
      <c r="B604" s="2947" t="s">
        <v>3069</v>
      </c>
      <c r="C604" s="2945" t="s">
        <v>70</v>
      </c>
      <c r="D604" s="2945" t="s">
        <v>3526</v>
      </c>
      <c r="E604" s="2945">
        <v>68.209999999999994</v>
      </c>
      <c r="F604" s="2947" t="s">
        <v>3132</v>
      </c>
    </row>
    <row r="605" spans="1:6" ht="14.25">
      <c r="A605" s="2945">
        <v>603</v>
      </c>
      <c r="B605" s="2947" t="s">
        <v>3069</v>
      </c>
      <c r="C605" s="2945" t="s">
        <v>70</v>
      </c>
      <c r="D605" s="2945" t="s">
        <v>3527</v>
      </c>
      <c r="E605" s="2945">
        <v>68.209999999999994</v>
      </c>
      <c r="F605" s="2947" t="s">
        <v>3132</v>
      </c>
    </row>
    <row r="606" spans="1:6" ht="14.25">
      <c r="A606" s="2945">
        <v>604</v>
      </c>
      <c r="B606" s="2947" t="s">
        <v>3069</v>
      </c>
      <c r="C606" s="2945" t="s">
        <v>70</v>
      </c>
      <c r="D606" s="2945" t="s">
        <v>3528</v>
      </c>
      <c r="E606" s="2945">
        <v>116.92</v>
      </c>
      <c r="F606" s="2947" t="s">
        <v>3132</v>
      </c>
    </row>
    <row r="607" spans="1:6" ht="14.25">
      <c r="A607" s="2945">
        <v>605</v>
      </c>
      <c r="B607" s="2947" t="s">
        <v>3069</v>
      </c>
      <c r="C607" s="2945" t="s">
        <v>70</v>
      </c>
      <c r="D607" s="2945" t="s">
        <v>3529</v>
      </c>
      <c r="E607" s="2945">
        <v>116.92</v>
      </c>
      <c r="F607" s="2947" t="s">
        <v>3132</v>
      </c>
    </row>
    <row r="608" spans="1:6" ht="14.25">
      <c r="A608" s="2945">
        <v>606</v>
      </c>
      <c r="B608" s="2947" t="s">
        <v>3069</v>
      </c>
      <c r="C608" s="2945" t="s">
        <v>70</v>
      </c>
      <c r="D608" s="2945" t="s">
        <v>3530</v>
      </c>
      <c r="E608" s="2945">
        <v>136.41</v>
      </c>
      <c r="F608" s="2947" t="s">
        <v>3132</v>
      </c>
    </row>
    <row r="609" spans="1:6" ht="14.25">
      <c r="A609" s="2945">
        <v>607</v>
      </c>
      <c r="B609" s="2947" t="s">
        <v>3069</v>
      </c>
      <c r="C609" s="2945" t="s">
        <v>70</v>
      </c>
      <c r="D609" s="2945" t="s">
        <v>3531</v>
      </c>
      <c r="E609" s="2945">
        <v>136.41</v>
      </c>
      <c r="F609" s="2947" t="s">
        <v>3132</v>
      </c>
    </row>
    <row r="610" spans="1:6" ht="14.25">
      <c r="A610" s="2945">
        <v>608</v>
      </c>
      <c r="B610" s="2947" t="s">
        <v>3069</v>
      </c>
      <c r="C610" s="2945" t="s">
        <v>70</v>
      </c>
      <c r="D610" s="2945" t="s">
        <v>3532</v>
      </c>
      <c r="E610" s="2945">
        <v>68.209999999999994</v>
      </c>
      <c r="F610" s="2947" t="s">
        <v>3132</v>
      </c>
    </row>
    <row r="611" spans="1:6" ht="14.25">
      <c r="A611" s="2945">
        <v>609</v>
      </c>
      <c r="B611" s="2947" t="s">
        <v>3069</v>
      </c>
      <c r="C611" s="2945" t="s">
        <v>70</v>
      </c>
      <c r="D611" s="2945" t="s">
        <v>3533</v>
      </c>
      <c r="E611" s="2945">
        <v>68.209999999999994</v>
      </c>
      <c r="F611" s="2947" t="s">
        <v>3132</v>
      </c>
    </row>
    <row r="612" spans="1:6" ht="14.25">
      <c r="A612" s="2945">
        <v>610</v>
      </c>
      <c r="B612" s="2947" t="s">
        <v>3069</v>
      </c>
      <c r="C612" s="2945" t="s">
        <v>70</v>
      </c>
      <c r="D612" s="2945" t="s">
        <v>3534</v>
      </c>
      <c r="E612" s="2945">
        <v>68.209999999999994</v>
      </c>
      <c r="F612" s="2947" t="s">
        <v>3132</v>
      </c>
    </row>
    <row r="613" spans="1:6" ht="14.25">
      <c r="A613" s="2945">
        <v>611</v>
      </c>
      <c r="B613" s="2947" t="s">
        <v>3069</v>
      </c>
      <c r="C613" s="2945" t="s">
        <v>70</v>
      </c>
      <c r="D613" s="2945" t="s">
        <v>3535</v>
      </c>
      <c r="E613" s="2945">
        <v>68.209999999999994</v>
      </c>
      <c r="F613" s="2947" t="s">
        <v>3132</v>
      </c>
    </row>
    <row r="614" spans="1:6" ht="14.25">
      <c r="A614" s="2945">
        <v>612</v>
      </c>
      <c r="B614" s="2947" t="s">
        <v>3069</v>
      </c>
      <c r="C614" s="2945" t="s">
        <v>70</v>
      </c>
      <c r="D614" s="2945" t="s">
        <v>3536</v>
      </c>
      <c r="E614" s="2945">
        <v>68.209999999999994</v>
      </c>
      <c r="F614" s="2947" t="s">
        <v>3132</v>
      </c>
    </row>
    <row r="615" spans="1:6" ht="14.25">
      <c r="A615" s="2945">
        <v>613</v>
      </c>
      <c r="B615" s="2947" t="s">
        <v>3069</v>
      </c>
      <c r="C615" s="2945" t="s">
        <v>70</v>
      </c>
      <c r="D615" s="2945" t="s">
        <v>3537</v>
      </c>
      <c r="E615" s="2945">
        <v>68.209999999999994</v>
      </c>
      <c r="F615" s="2947" t="s">
        <v>3132</v>
      </c>
    </row>
    <row r="616" spans="1:6" ht="14.25">
      <c r="A616" s="2945">
        <v>614</v>
      </c>
      <c r="B616" s="2947" t="s">
        <v>3069</v>
      </c>
      <c r="C616" s="2945" t="s">
        <v>70</v>
      </c>
      <c r="D616" s="2945" t="s">
        <v>3538</v>
      </c>
      <c r="E616" s="2945">
        <v>136.41</v>
      </c>
      <c r="F616" s="2947" t="s">
        <v>3132</v>
      </c>
    </row>
    <row r="617" spans="1:6" ht="14.25">
      <c r="A617" s="2945">
        <v>615</v>
      </c>
      <c r="B617" s="2947" t="s">
        <v>3069</v>
      </c>
      <c r="C617" s="2945" t="s">
        <v>70</v>
      </c>
      <c r="D617" s="2945" t="s">
        <v>3539</v>
      </c>
      <c r="E617" s="2945">
        <v>136.41</v>
      </c>
      <c r="F617" s="2947" t="s">
        <v>3132</v>
      </c>
    </row>
    <row r="618" spans="1:6" ht="14.25">
      <c r="A618" s="2945">
        <v>616</v>
      </c>
      <c r="B618" s="2947" t="s">
        <v>3069</v>
      </c>
      <c r="C618" s="2945" t="s">
        <v>70</v>
      </c>
      <c r="D618" s="2945" t="s">
        <v>3540</v>
      </c>
      <c r="E618" s="2945">
        <v>68.209999999999994</v>
      </c>
      <c r="F618" s="2947" t="s">
        <v>3132</v>
      </c>
    </row>
    <row r="619" spans="1:6" ht="14.25">
      <c r="A619" s="2945">
        <v>617</v>
      </c>
      <c r="B619" s="2947" t="s">
        <v>3069</v>
      </c>
      <c r="C619" s="2945" t="s">
        <v>70</v>
      </c>
      <c r="D619" s="2945" t="s">
        <v>3541</v>
      </c>
      <c r="E619" s="2945">
        <v>68.209999999999994</v>
      </c>
      <c r="F619" s="2947" t="s">
        <v>3132</v>
      </c>
    </row>
    <row r="620" spans="1:6" ht="14.25">
      <c r="A620" s="2945">
        <v>618</v>
      </c>
      <c r="B620" s="2947" t="s">
        <v>3069</v>
      </c>
      <c r="C620" s="2945" t="s">
        <v>70</v>
      </c>
      <c r="D620" s="2945" t="s">
        <v>3542</v>
      </c>
      <c r="E620" s="2945">
        <v>136.41</v>
      </c>
      <c r="F620" s="2947" t="s">
        <v>3132</v>
      </c>
    </row>
    <row r="621" spans="1:6" ht="14.25">
      <c r="A621" s="2945">
        <v>619</v>
      </c>
      <c r="B621" s="2947" t="s">
        <v>3069</v>
      </c>
      <c r="C621" s="2945" t="s">
        <v>70</v>
      </c>
      <c r="D621" s="2945" t="s">
        <v>3543</v>
      </c>
      <c r="E621" s="2945">
        <v>136.41</v>
      </c>
      <c r="F621" s="2947" t="s">
        <v>3132</v>
      </c>
    </row>
    <row r="622" spans="1:6" ht="14.25">
      <c r="A622" s="2945">
        <v>620</v>
      </c>
      <c r="B622" s="2947" t="s">
        <v>3069</v>
      </c>
      <c r="C622" s="2945" t="s">
        <v>70</v>
      </c>
      <c r="D622" s="2945" t="s">
        <v>3544</v>
      </c>
      <c r="E622" s="2945">
        <v>136.41</v>
      </c>
      <c r="F622" s="2947" t="s">
        <v>3132</v>
      </c>
    </row>
    <row r="623" spans="1:6" ht="14.25">
      <c r="A623" s="2945">
        <v>621</v>
      </c>
      <c r="B623" s="2947" t="s">
        <v>3069</v>
      </c>
      <c r="C623" s="2945" t="s">
        <v>70</v>
      </c>
      <c r="D623" s="2945" t="s">
        <v>3545</v>
      </c>
      <c r="E623" s="2945">
        <v>136.41</v>
      </c>
      <c r="F623" s="2947" t="s">
        <v>3132</v>
      </c>
    </row>
    <row r="624" spans="1:6" ht="14.25">
      <c r="A624" s="2945">
        <v>622</v>
      </c>
      <c r="B624" s="2947" t="s">
        <v>3069</v>
      </c>
      <c r="C624" s="2945" t="s">
        <v>70</v>
      </c>
      <c r="D624" s="2945" t="s">
        <v>3546</v>
      </c>
      <c r="E624" s="2945">
        <v>58.46</v>
      </c>
      <c r="F624" s="2947" t="s">
        <v>3132</v>
      </c>
    </row>
    <row r="625" spans="1:6" ht="14.25">
      <c r="A625" s="2945">
        <v>623</v>
      </c>
      <c r="B625" s="2947" t="s">
        <v>3069</v>
      </c>
      <c r="C625" s="2945" t="s">
        <v>70</v>
      </c>
      <c r="D625" s="2945" t="s">
        <v>3547</v>
      </c>
      <c r="E625" s="2945">
        <v>58.46</v>
      </c>
      <c r="F625" s="2947" t="s">
        <v>3132</v>
      </c>
    </row>
    <row r="626" spans="1:6" ht="14.25">
      <c r="A626" s="2945">
        <v>624</v>
      </c>
      <c r="B626" s="2947" t="s">
        <v>3069</v>
      </c>
      <c r="C626" s="2945" t="s">
        <v>70</v>
      </c>
      <c r="D626" s="2945" t="s">
        <v>3548</v>
      </c>
      <c r="E626" s="2945">
        <v>68.209999999999994</v>
      </c>
      <c r="F626" s="2947" t="s">
        <v>3132</v>
      </c>
    </row>
    <row r="627" spans="1:6" ht="14.25">
      <c r="A627" s="2945">
        <v>625</v>
      </c>
      <c r="B627" s="2947" t="s">
        <v>3069</v>
      </c>
      <c r="C627" s="2945" t="s">
        <v>70</v>
      </c>
      <c r="D627" s="2945" t="s">
        <v>3549</v>
      </c>
      <c r="E627" s="2945">
        <v>68.209999999999994</v>
      </c>
      <c r="F627" s="2947" t="s">
        <v>3132</v>
      </c>
    </row>
    <row r="628" spans="1:6" ht="14.25">
      <c r="A628" s="2945">
        <v>626</v>
      </c>
      <c r="B628" s="2947" t="s">
        <v>3069</v>
      </c>
      <c r="C628" s="2945" t="s">
        <v>70</v>
      </c>
      <c r="D628" s="2945" t="s">
        <v>3550</v>
      </c>
      <c r="E628" s="2945">
        <v>68.209999999999994</v>
      </c>
      <c r="F628" s="2947" t="s">
        <v>3132</v>
      </c>
    </row>
    <row r="629" spans="1:6" ht="14.25">
      <c r="A629" s="2945">
        <v>627</v>
      </c>
      <c r="B629" s="2947" t="s">
        <v>3069</v>
      </c>
      <c r="C629" s="2945" t="s">
        <v>70</v>
      </c>
      <c r="D629" s="2945" t="s">
        <v>3551</v>
      </c>
      <c r="E629" s="2945">
        <v>68.209999999999994</v>
      </c>
      <c r="F629" s="2947" t="s">
        <v>3132</v>
      </c>
    </row>
    <row r="630" spans="1:6" ht="14.25">
      <c r="A630" s="2945">
        <v>628</v>
      </c>
      <c r="B630" s="2947" t="s">
        <v>3069</v>
      </c>
      <c r="C630" s="2945" t="s">
        <v>70</v>
      </c>
      <c r="D630" s="2945" t="s">
        <v>3552</v>
      </c>
      <c r="E630" s="2945">
        <v>68.209999999999994</v>
      </c>
      <c r="F630" s="2947" t="s">
        <v>3132</v>
      </c>
    </row>
    <row r="631" spans="1:6" ht="14.25">
      <c r="A631" s="2945">
        <v>629</v>
      </c>
      <c r="B631" s="2947" t="s">
        <v>3069</v>
      </c>
      <c r="C631" s="2945" t="s">
        <v>70</v>
      </c>
      <c r="D631" s="2945" t="s">
        <v>3553</v>
      </c>
      <c r="E631" s="2945">
        <v>68.209999999999994</v>
      </c>
      <c r="F631" s="2947" t="s">
        <v>3132</v>
      </c>
    </row>
    <row r="632" spans="1:6" ht="14.25">
      <c r="A632" s="2945">
        <v>630</v>
      </c>
      <c r="B632" s="2947" t="s">
        <v>3069</v>
      </c>
      <c r="C632" s="2945" t="s">
        <v>70</v>
      </c>
      <c r="D632" s="2945" t="s">
        <v>3554</v>
      </c>
      <c r="E632" s="2945">
        <v>68.209999999999994</v>
      </c>
      <c r="F632" s="2947" t="s">
        <v>3132</v>
      </c>
    </row>
    <row r="633" spans="1:6" ht="14.25">
      <c r="A633" s="2945">
        <v>631</v>
      </c>
      <c r="B633" s="2947" t="s">
        <v>3069</v>
      </c>
      <c r="C633" s="2945" t="s">
        <v>70</v>
      </c>
      <c r="D633" s="2945" t="s">
        <v>3555</v>
      </c>
      <c r="E633" s="2945">
        <v>68.209999999999994</v>
      </c>
      <c r="F633" s="2947" t="s">
        <v>3132</v>
      </c>
    </row>
    <row r="634" spans="1:6" ht="14.25">
      <c r="A634" s="2945">
        <v>632</v>
      </c>
      <c r="B634" s="2947" t="s">
        <v>3069</v>
      </c>
      <c r="C634" s="2945" t="s">
        <v>70</v>
      </c>
      <c r="D634" s="2945" t="s">
        <v>3556</v>
      </c>
      <c r="E634" s="2945">
        <v>52.62</v>
      </c>
      <c r="F634" s="2947" t="s">
        <v>3132</v>
      </c>
    </row>
    <row r="635" spans="1:6" ht="14.25">
      <c r="A635" s="2945">
        <v>633</v>
      </c>
      <c r="B635" s="2947" t="s">
        <v>3069</v>
      </c>
      <c r="C635" s="2945" t="s">
        <v>70</v>
      </c>
      <c r="D635" s="2945" t="s">
        <v>3557</v>
      </c>
      <c r="E635" s="2945">
        <v>52.62</v>
      </c>
      <c r="F635" s="2947" t="s">
        <v>3132</v>
      </c>
    </row>
    <row r="636" spans="1:6" ht="14.25">
      <c r="A636" s="2945">
        <v>634</v>
      </c>
      <c r="B636" s="2947" t="s">
        <v>3069</v>
      </c>
      <c r="C636" s="2945" t="s">
        <v>70</v>
      </c>
      <c r="D636" s="2945" t="s">
        <v>3558</v>
      </c>
      <c r="E636" s="2945">
        <v>52.62</v>
      </c>
      <c r="F636" s="2947" t="s">
        <v>3132</v>
      </c>
    </row>
    <row r="637" spans="1:6" ht="14.25">
      <c r="A637" s="2945">
        <v>635</v>
      </c>
      <c r="B637" s="2947" t="s">
        <v>3069</v>
      </c>
      <c r="C637" s="2945" t="s">
        <v>70</v>
      </c>
      <c r="D637" s="2945" t="s">
        <v>3559</v>
      </c>
      <c r="E637" s="2945">
        <v>68.209999999999994</v>
      </c>
      <c r="F637" s="2947" t="s">
        <v>3132</v>
      </c>
    </row>
    <row r="638" spans="1:6" ht="14.25">
      <c r="A638" s="2945">
        <v>636</v>
      </c>
      <c r="B638" s="2947" t="s">
        <v>3069</v>
      </c>
      <c r="C638" s="2945" t="s">
        <v>70</v>
      </c>
      <c r="D638" s="2945" t="s">
        <v>3560</v>
      </c>
      <c r="E638" s="2945">
        <v>68.209999999999994</v>
      </c>
      <c r="F638" s="2947" t="s">
        <v>3132</v>
      </c>
    </row>
    <row r="639" spans="1:6" ht="14.25">
      <c r="A639" s="2945">
        <v>637</v>
      </c>
      <c r="B639" s="2947" t="s">
        <v>3069</v>
      </c>
      <c r="C639" s="2945" t="s">
        <v>70</v>
      </c>
      <c r="D639" s="2945" t="s">
        <v>3561</v>
      </c>
      <c r="E639" s="2945">
        <v>68.209999999999994</v>
      </c>
      <c r="F639" s="2947" t="s">
        <v>3132</v>
      </c>
    </row>
    <row r="640" spans="1:6" ht="14.25">
      <c r="A640" s="2945">
        <v>638</v>
      </c>
      <c r="B640" s="2947" t="s">
        <v>3069</v>
      </c>
      <c r="C640" s="2945" t="s">
        <v>70</v>
      </c>
      <c r="D640" s="2945" t="s">
        <v>3562</v>
      </c>
      <c r="E640" s="2945">
        <v>68.209999999999994</v>
      </c>
      <c r="F640" s="2947" t="s">
        <v>3132</v>
      </c>
    </row>
    <row r="641" spans="1:6" ht="14.25">
      <c r="A641" s="2945">
        <v>639</v>
      </c>
      <c r="B641" s="2947" t="s">
        <v>3069</v>
      </c>
      <c r="C641" s="2945" t="s">
        <v>70</v>
      </c>
      <c r="D641" s="2945" t="s">
        <v>3563</v>
      </c>
      <c r="E641" s="2945">
        <v>68.209999999999994</v>
      </c>
      <c r="F641" s="2947" t="s">
        <v>3132</v>
      </c>
    </row>
    <row r="642" spans="1:6" ht="14.25">
      <c r="A642" s="2945">
        <v>640</v>
      </c>
      <c r="B642" s="2947" t="s">
        <v>3069</v>
      </c>
      <c r="C642" s="2945" t="s">
        <v>70</v>
      </c>
      <c r="D642" s="2945" t="s">
        <v>3564</v>
      </c>
      <c r="E642" s="2945">
        <v>68.209999999999994</v>
      </c>
      <c r="F642" s="2947" t="s">
        <v>3132</v>
      </c>
    </row>
    <row r="643" spans="1:6" ht="14.25">
      <c r="A643" s="2945">
        <v>641</v>
      </c>
      <c r="B643" s="2947" t="s">
        <v>3069</v>
      </c>
      <c r="C643" s="2945" t="s">
        <v>70</v>
      </c>
      <c r="D643" s="2945" t="s">
        <v>3565</v>
      </c>
      <c r="E643" s="2945">
        <v>68.209999999999994</v>
      </c>
      <c r="F643" s="2947" t="s">
        <v>3132</v>
      </c>
    </row>
    <row r="644" spans="1:6" ht="14.25">
      <c r="A644" s="2945">
        <v>642</v>
      </c>
      <c r="B644" s="2947" t="s">
        <v>3069</v>
      </c>
      <c r="C644" s="2945" t="s">
        <v>70</v>
      </c>
      <c r="D644" s="2945" t="s">
        <v>3566</v>
      </c>
      <c r="E644" s="2945">
        <v>68.209999999999994</v>
      </c>
      <c r="F644" s="2947" t="s">
        <v>3132</v>
      </c>
    </row>
    <row r="645" spans="1:6" ht="14.25">
      <c r="A645" s="2945">
        <v>643</v>
      </c>
      <c r="B645" s="2947" t="s">
        <v>3069</v>
      </c>
      <c r="C645" s="2945" t="s">
        <v>70</v>
      </c>
      <c r="D645" s="2945" t="s">
        <v>3567</v>
      </c>
      <c r="E645" s="2945">
        <v>68.209999999999994</v>
      </c>
      <c r="F645" s="2947" t="s">
        <v>3132</v>
      </c>
    </row>
    <row r="646" spans="1:6" ht="14.25">
      <c r="A646" s="2945">
        <v>644</v>
      </c>
      <c r="B646" s="2947" t="s">
        <v>3069</v>
      </c>
      <c r="C646" s="2945" t="s">
        <v>70</v>
      </c>
      <c r="D646" s="2945" t="s">
        <v>3568</v>
      </c>
      <c r="E646" s="2945">
        <v>35.729999999999997</v>
      </c>
      <c r="F646" s="2947" t="s">
        <v>3132</v>
      </c>
    </row>
    <row r="647" spans="1:6" ht="14.25">
      <c r="A647" s="2945">
        <v>645</v>
      </c>
      <c r="B647" s="2947" t="s">
        <v>3069</v>
      </c>
      <c r="C647" s="2945" t="s">
        <v>70</v>
      </c>
      <c r="D647" s="2945" t="s">
        <v>3569</v>
      </c>
      <c r="E647" s="2945">
        <v>52.05</v>
      </c>
      <c r="F647" s="2947" t="s">
        <v>3132</v>
      </c>
    </row>
    <row r="648" spans="1:6" ht="14.25">
      <c r="A648" s="2945">
        <v>646</v>
      </c>
      <c r="B648" s="2947" t="s">
        <v>3069</v>
      </c>
      <c r="C648" s="2945" t="s">
        <v>70</v>
      </c>
      <c r="D648" s="2945" t="s">
        <v>3570</v>
      </c>
      <c r="E648" s="2945">
        <v>52.05</v>
      </c>
      <c r="F648" s="2947" t="s">
        <v>3132</v>
      </c>
    </row>
    <row r="649" spans="1:6" ht="14.25">
      <c r="A649" s="2945">
        <v>647</v>
      </c>
      <c r="B649" s="2947" t="s">
        <v>3069</v>
      </c>
      <c r="C649" s="2945" t="s">
        <v>70</v>
      </c>
      <c r="D649" s="2945" t="s">
        <v>3571</v>
      </c>
      <c r="E649" s="2945">
        <v>52.62</v>
      </c>
      <c r="F649" s="2947" t="s">
        <v>3132</v>
      </c>
    </row>
    <row r="650" spans="1:6" ht="14.25">
      <c r="A650" s="2945">
        <v>648</v>
      </c>
      <c r="B650" s="2947" t="s">
        <v>3069</v>
      </c>
      <c r="C650" s="2945" t="s">
        <v>70</v>
      </c>
      <c r="D650" s="2945" t="s">
        <v>3572</v>
      </c>
      <c r="E650" s="2945">
        <v>52.62</v>
      </c>
      <c r="F650" s="2947" t="s">
        <v>3132</v>
      </c>
    </row>
    <row r="651" spans="1:6" ht="14.25">
      <c r="A651" s="2945">
        <v>649</v>
      </c>
      <c r="B651" s="2947" t="s">
        <v>3069</v>
      </c>
      <c r="C651" s="2945" t="s">
        <v>70</v>
      </c>
      <c r="D651" s="2945" t="s">
        <v>3573</v>
      </c>
      <c r="E651" s="2945">
        <v>68.209999999999994</v>
      </c>
      <c r="F651" s="2947" t="s">
        <v>3132</v>
      </c>
    </row>
    <row r="652" spans="1:6" ht="14.25">
      <c r="A652" s="2945">
        <v>650</v>
      </c>
      <c r="B652" s="2947" t="s">
        <v>3069</v>
      </c>
      <c r="C652" s="2945" t="s">
        <v>70</v>
      </c>
      <c r="D652" s="2945" t="s">
        <v>3574</v>
      </c>
      <c r="E652" s="2945">
        <v>68.209999999999994</v>
      </c>
      <c r="F652" s="2947" t="s">
        <v>3132</v>
      </c>
    </row>
    <row r="653" spans="1:6" ht="14.25">
      <c r="A653" s="2945">
        <v>651</v>
      </c>
      <c r="B653" s="2947" t="s">
        <v>3069</v>
      </c>
      <c r="C653" s="2945" t="s">
        <v>70</v>
      </c>
      <c r="D653" s="2945" t="s">
        <v>3575</v>
      </c>
      <c r="E653" s="2945">
        <v>68.209999999999994</v>
      </c>
      <c r="F653" s="2947" t="s">
        <v>3132</v>
      </c>
    </row>
    <row r="654" spans="1:6" ht="14.25">
      <c r="A654" s="2945">
        <v>652</v>
      </c>
      <c r="B654" s="2947" t="s">
        <v>3069</v>
      </c>
      <c r="C654" s="2945" t="s">
        <v>70</v>
      </c>
      <c r="D654" s="2945" t="s">
        <v>3576</v>
      </c>
      <c r="E654" s="2945">
        <v>68.209999999999994</v>
      </c>
      <c r="F654" s="2947" t="s">
        <v>3132</v>
      </c>
    </row>
    <row r="655" spans="1:6" ht="14.25">
      <c r="A655" s="2945">
        <v>653</v>
      </c>
      <c r="B655" s="2947" t="s">
        <v>3069</v>
      </c>
      <c r="C655" s="2945" t="s">
        <v>70</v>
      </c>
      <c r="D655" s="2945" t="s">
        <v>3577</v>
      </c>
      <c r="E655" s="2945">
        <v>68.209999999999994</v>
      </c>
      <c r="F655" s="2947" t="s">
        <v>3132</v>
      </c>
    </row>
    <row r="656" spans="1:6" ht="14.25">
      <c r="A656" s="2945">
        <v>654</v>
      </c>
      <c r="B656" s="2947" t="s">
        <v>3069</v>
      </c>
      <c r="C656" s="2945" t="s">
        <v>70</v>
      </c>
      <c r="D656" s="2945" t="s">
        <v>3578</v>
      </c>
      <c r="E656" s="2945">
        <v>68.209999999999994</v>
      </c>
      <c r="F656" s="2947" t="s">
        <v>3132</v>
      </c>
    </row>
    <row r="657" spans="1:6" ht="14.25">
      <c r="A657" s="2945">
        <v>655</v>
      </c>
      <c r="B657" s="2947" t="s">
        <v>3069</v>
      </c>
      <c r="C657" s="2945" t="s">
        <v>70</v>
      </c>
      <c r="D657" s="2945" t="s">
        <v>3579</v>
      </c>
      <c r="E657" s="2945">
        <v>68.209999999999994</v>
      </c>
      <c r="F657" s="2947" t="s">
        <v>3132</v>
      </c>
    </row>
    <row r="658" spans="1:6" ht="14.25">
      <c r="A658" s="2945">
        <v>656</v>
      </c>
      <c r="B658" s="2947" t="s">
        <v>3069</v>
      </c>
      <c r="C658" s="2945" t="s">
        <v>70</v>
      </c>
      <c r="D658" s="2945" t="s">
        <v>3580</v>
      </c>
      <c r="E658" s="2945">
        <v>68.209999999999994</v>
      </c>
      <c r="F658" s="2947" t="s">
        <v>3132</v>
      </c>
    </row>
    <row r="659" spans="1:6" ht="14.25">
      <c r="A659" s="2945">
        <v>657</v>
      </c>
      <c r="B659" s="2947" t="s">
        <v>3069</v>
      </c>
      <c r="C659" s="2945" t="s">
        <v>70</v>
      </c>
      <c r="D659" s="2945" t="s">
        <v>3581</v>
      </c>
      <c r="E659" s="2945">
        <v>68.209999999999994</v>
      </c>
      <c r="F659" s="2947" t="s">
        <v>3132</v>
      </c>
    </row>
    <row r="660" spans="1:6" ht="14.25">
      <c r="A660" s="2945">
        <v>658</v>
      </c>
      <c r="B660" s="2947" t="s">
        <v>3069</v>
      </c>
      <c r="C660" s="2945" t="s">
        <v>70</v>
      </c>
      <c r="D660" s="2945" t="s">
        <v>3582</v>
      </c>
      <c r="E660" s="2945">
        <v>68.209999999999994</v>
      </c>
      <c r="F660" s="2947" t="s">
        <v>3132</v>
      </c>
    </row>
    <row r="661" spans="1:6" ht="14.25">
      <c r="A661" s="2945">
        <v>659</v>
      </c>
      <c r="B661" s="2947" t="s">
        <v>3069</v>
      </c>
      <c r="C661" s="2945" t="s">
        <v>70</v>
      </c>
      <c r="D661" s="2945" t="s">
        <v>3583</v>
      </c>
      <c r="E661" s="2945">
        <v>68.209999999999994</v>
      </c>
      <c r="F661" s="2947" t="s">
        <v>3132</v>
      </c>
    </row>
    <row r="662" spans="1:6" ht="14.25">
      <c r="A662" s="2945">
        <v>660</v>
      </c>
      <c r="B662" s="2947" t="s">
        <v>3069</v>
      </c>
      <c r="C662" s="2945" t="s">
        <v>70</v>
      </c>
      <c r="D662" s="2945" t="s">
        <v>3584</v>
      </c>
      <c r="E662" s="2945">
        <v>105.23</v>
      </c>
      <c r="F662" s="2947" t="s">
        <v>3132</v>
      </c>
    </row>
    <row r="663" spans="1:6" ht="14.25">
      <c r="A663" s="2945">
        <v>661</v>
      </c>
      <c r="B663" s="2947" t="s">
        <v>3069</v>
      </c>
      <c r="C663" s="2945" t="s">
        <v>70</v>
      </c>
      <c r="D663" s="2945" t="s">
        <v>3585</v>
      </c>
      <c r="E663" s="2945">
        <v>105.23</v>
      </c>
      <c r="F663" s="2947" t="s">
        <v>3132</v>
      </c>
    </row>
    <row r="664" spans="1:6" ht="14.25">
      <c r="A664" s="2945">
        <v>662</v>
      </c>
      <c r="B664" s="2947" t="s">
        <v>3069</v>
      </c>
      <c r="C664" s="2945" t="s">
        <v>70</v>
      </c>
      <c r="D664" s="2945" t="s">
        <v>3586</v>
      </c>
      <c r="E664" s="2945">
        <v>105.23</v>
      </c>
      <c r="F664" s="2947" t="s">
        <v>3132</v>
      </c>
    </row>
    <row r="665" spans="1:6" ht="14.25">
      <c r="A665" s="2945">
        <v>663</v>
      </c>
      <c r="B665" s="2947" t="s">
        <v>3069</v>
      </c>
      <c r="C665" s="2945" t="s">
        <v>70</v>
      </c>
      <c r="D665" s="2945" t="s">
        <v>3587</v>
      </c>
      <c r="E665" s="2945">
        <v>136.41</v>
      </c>
      <c r="F665" s="2947" t="s">
        <v>3132</v>
      </c>
    </row>
    <row r="666" spans="1:6" ht="14.25">
      <c r="A666" s="2945">
        <v>664</v>
      </c>
      <c r="B666" s="2947" t="s">
        <v>3069</v>
      </c>
      <c r="C666" s="2945" t="s">
        <v>70</v>
      </c>
      <c r="D666" s="2945" t="s">
        <v>3588</v>
      </c>
      <c r="E666" s="2945">
        <v>68.209999999999994</v>
      </c>
      <c r="F666" s="2947" t="s">
        <v>3132</v>
      </c>
    </row>
    <row r="667" spans="1:6" ht="14.25">
      <c r="A667" s="2945">
        <v>665</v>
      </c>
      <c r="B667" s="2947" t="s">
        <v>3069</v>
      </c>
      <c r="C667" s="2945" t="s">
        <v>70</v>
      </c>
      <c r="D667" s="2945" t="s">
        <v>3589</v>
      </c>
      <c r="E667" s="2945">
        <v>136.41</v>
      </c>
      <c r="F667" s="2947" t="s">
        <v>3132</v>
      </c>
    </row>
    <row r="668" spans="1:6" ht="14.25">
      <c r="A668" s="2945">
        <v>666</v>
      </c>
      <c r="B668" s="2947" t="s">
        <v>3069</v>
      </c>
      <c r="C668" s="2945" t="s">
        <v>70</v>
      </c>
      <c r="D668" s="2945" t="s">
        <v>3590</v>
      </c>
      <c r="E668" s="2945">
        <v>68.209999999999994</v>
      </c>
      <c r="F668" s="2947" t="s">
        <v>3132</v>
      </c>
    </row>
    <row r="669" spans="1:6" ht="14.25">
      <c r="A669" s="2945">
        <v>667</v>
      </c>
      <c r="B669" s="2947" t="s">
        <v>3069</v>
      </c>
      <c r="C669" s="2945" t="s">
        <v>70</v>
      </c>
      <c r="D669" s="2945" t="s">
        <v>3591</v>
      </c>
      <c r="E669" s="2945">
        <v>68.209999999999994</v>
      </c>
      <c r="F669" s="2947" t="s">
        <v>3132</v>
      </c>
    </row>
    <row r="670" spans="1:6" ht="14.25">
      <c r="A670" s="2945">
        <v>668</v>
      </c>
      <c r="B670" s="2947" t="s">
        <v>3069</v>
      </c>
      <c r="C670" s="2945" t="s">
        <v>70</v>
      </c>
      <c r="D670" s="2945" t="s">
        <v>3592</v>
      </c>
      <c r="E670" s="2945">
        <v>58.46</v>
      </c>
      <c r="F670" s="2947" t="s">
        <v>3132</v>
      </c>
    </row>
    <row r="671" spans="1:6" ht="14.25">
      <c r="A671" s="2945">
        <v>669</v>
      </c>
      <c r="B671" s="2947" t="s">
        <v>3069</v>
      </c>
      <c r="C671" s="2945" t="s">
        <v>70</v>
      </c>
      <c r="D671" s="2945" t="s">
        <v>3593</v>
      </c>
      <c r="E671" s="2945">
        <v>58.46</v>
      </c>
      <c r="F671" s="2947" t="s">
        <v>3132</v>
      </c>
    </row>
    <row r="672" spans="1:6" ht="14.25">
      <c r="A672" s="2945">
        <v>670</v>
      </c>
      <c r="B672" s="2947" t="s">
        <v>3069</v>
      </c>
      <c r="C672" s="2945" t="s">
        <v>70</v>
      </c>
      <c r="D672" s="2945" t="s">
        <v>3594</v>
      </c>
      <c r="E672" s="2945">
        <v>68.209999999999994</v>
      </c>
      <c r="F672" s="2947" t="s">
        <v>3132</v>
      </c>
    </row>
    <row r="673" spans="1:6" ht="14.25">
      <c r="A673" s="2945">
        <v>671</v>
      </c>
      <c r="B673" s="2947" t="s">
        <v>3069</v>
      </c>
      <c r="C673" s="2945" t="s">
        <v>70</v>
      </c>
      <c r="D673" s="2945" t="s">
        <v>3595</v>
      </c>
      <c r="E673" s="2945">
        <v>68.209999999999994</v>
      </c>
      <c r="F673" s="2947" t="s">
        <v>3132</v>
      </c>
    </row>
    <row r="674" spans="1:6" ht="14.25">
      <c r="A674" s="2945">
        <v>672</v>
      </c>
      <c r="B674" s="2947" t="s">
        <v>3069</v>
      </c>
      <c r="C674" s="2945" t="s">
        <v>70</v>
      </c>
      <c r="D674" s="2945" t="s">
        <v>3596</v>
      </c>
      <c r="E674" s="2945">
        <v>68.209999999999994</v>
      </c>
      <c r="F674" s="2947" t="s">
        <v>3132</v>
      </c>
    </row>
    <row r="675" spans="1:6" ht="14.25">
      <c r="A675" s="2945">
        <v>673</v>
      </c>
      <c r="B675" s="2947" t="s">
        <v>3069</v>
      </c>
      <c r="C675" s="2945" t="s">
        <v>70</v>
      </c>
      <c r="D675" s="2945" t="s">
        <v>3597</v>
      </c>
      <c r="E675" s="2945">
        <v>68.209999999999994</v>
      </c>
      <c r="F675" s="2947" t="s">
        <v>3132</v>
      </c>
    </row>
    <row r="676" spans="1:6" ht="14.25">
      <c r="A676" s="2945">
        <v>674</v>
      </c>
      <c r="B676" s="2947" t="s">
        <v>3069</v>
      </c>
      <c r="C676" s="2945" t="s">
        <v>70</v>
      </c>
      <c r="D676" s="2945" t="s">
        <v>3598</v>
      </c>
      <c r="E676" s="2945">
        <v>68.209999999999994</v>
      </c>
      <c r="F676" s="2947" t="s">
        <v>3132</v>
      </c>
    </row>
    <row r="677" spans="1:6" ht="14.25">
      <c r="A677" s="2945">
        <v>675</v>
      </c>
      <c r="B677" s="2947" t="s">
        <v>3069</v>
      </c>
      <c r="C677" s="2945" t="s">
        <v>70</v>
      </c>
      <c r="D677" s="2945" t="s">
        <v>3599</v>
      </c>
      <c r="E677" s="2945">
        <v>68.209999999999994</v>
      </c>
      <c r="F677" s="2947" t="s">
        <v>3132</v>
      </c>
    </row>
    <row r="678" spans="1:6" ht="14.25">
      <c r="A678" s="2945">
        <v>676</v>
      </c>
      <c r="B678" s="2947" t="s">
        <v>3069</v>
      </c>
      <c r="C678" s="2945" t="s">
        <v>70</v>
      </c>
      <c r="D678" s="2945" t="s">
        <v>3600</v>
      </c>
      <c r="E678" s="2945">
        <v>68.209999999999994</v>
      </c>
      <c r="F678" s="2947" t="s">
        <v>3132</v>
      </c>
    </row>
    <row r="679" spans="1:6" ht="14.25">
      <c r="A679" s="2945">
        <v>677</v>
      </c>
      <c r="B679" s="2947" t="s">
        <v>3069</v>
      </c>
      <c r="C679" s="2945" t="s">
        <v>70</v>
      </c>
      <c r="D679" s="2945" t="s">
        <v>3601</v>
      </c>
      <c r="E679" s="2945">
        <v>68.209999999999994</v>
      </c>
      <c r="F679" s="2947" t="s">
        <v>3132</v>
      </c>
    </row>
    <row r="680" spans="1:6" ht="14.25">
      <c r="A680" s="2945">
        <v>678</v>
      </c>
      <c r="B680" s="2947" t="s">
        <v>3069</v>
      </c>
      <c r="C680" s="2945" t="s">
        <v>70</v>
      </c>
      <c r="D680" s="2945" t="s">
        <v>3602</v>
      </c>
      <c r="E680" s="2945">
        <v>68.209999999999994</v>
      </c>
      <c r="F680" s="2947" t="s">
        <v>3132</v>
      </c>
    </row>
    <row r="681" spans="1:6" ht="14.25">
      <c r="A681" s="2945">
        <v>679</v>
      </c>
      <c r="B681" s="2947" t="s">
        <v>3069</v>
      </c>
      <c r="C681" s="2945" t="s">
        <v>70</v>
      </c>
      <c r="D681" s="2945" t="s">
        <v>3603</v>
      </c>
      <c r="E681" s="2945">
        <v>68.209999999999994</v>
      </c>
      <c r="F681" s="2947" t="s">
        <v>3132</v>
      </c>
    </row>
    <row r="682" spans="1:6" ht="14.25">
      <c r="A682" s="2945">
        <v>680</v>
      </c>
      <c r="B682" s="2947" t="s">
        <v>3069</v>
      </c>
      <c r="C682" s="2945" t="s">
        <v>70</v>
      </c>
      <c r="D682" s="2945" t="s">
        <v>3604</v>
      </c>
      <c r="E682" s="2945">
        <v>68.209999999999994</v>
      </c>
      <c r="F682" s="2947" t="s">
        <v>3132</v>
      </c>
    </row>
    <row r="683" spans="1:6" ht="14.25">
      <c r="A683" s="2945">
        <v>681</v>
      </c>
      <c r="B683" s="2947" t="s">
        <v>3069</v>
      </c>
      <c r="C683" s="2945" t="s">
        <v>70</v>
      </c>
      <c r="D683" s="2945" t="s">
        <v>3605</v>
      </c>
      <c r="E683" s="2945">
        <v>68.209999999999994</v>
      </c>
      <c r="F683" s="2947" t="s">
        <v>3132</v>
      </c>
    </row>
    <row r="684" spans="1:6" ht="14.25">
      <c r="A684" s="2945">
        <v>682</v>
      </c>
      <c r="B684" s="2947" t="s">
        <v>3069</v>
      </c>
      <c r="C684" s="2945" t="s">
        <v>70</v>
      </c>
      <c r="D684" s="2945" t="s">
        <v>3606</v>
      </c>
      <c r="E684" s="2945">
        <v>52.09</v>
      </c>
      <c r="F684" s="2947" t="s">
        <v>3132</v>
      </c>
    </row>
    <row r="685" spans="1:6" ht="14.25">
      <c r="A685" s="2945">
        <v>683</v>
      </c>
      <c r="B685" s="2947" t="s">
        <v>3069</v>
      </c>
      <c r="C685" s="2945" t="s">
        <v>70</v>
      </c>
      <c r="D685" s="2945" t="s">
        <v>3607</v>
      </c>
      <c r="E685" s="2945">
        <v>52.09</v>
      </c>
      <c r="F685" s="2947" t="s">
        <v>3132</v>
      </c>
    </row>
    <row r="686" spans="1:6" ht="14.25">
      <c r="A686" s="2945">
        <v>684</v>
      </c>
      <c r="B686" s="2947" t="s">
        <v>3069</v>
      </c>
      <c r="C686" s="2945" t="s">
        <v>70</v>
      </c>
      <c r="D686" s="2945" t="s">
        <v>3608</v>
      </c>
      <c r="E686" s="2945">
        <v>68.209999999999994</v>
      </c>
      <c r="F686" s="2947" t="s">
        <v>3132</v>
      </c>
    </row>
    <row r="687" spans="1:6" ht="14.25">
      <c r="A687" s="2945">
        <v>685</v>
      </c>
      <c r="B687" s="2947" t="s">
        <v>3069</v>
      </c>
      <c r="C687" s="2945" t="s">
        <v>70</v>
      </c>
      <c r="D687" s="2945" t="s">
        <v>3609</v>
      </c>
      <c r="E687" s="2945">
        <v>68.209999999999994</v>
      </c>
      <c r="F687" s="2947" t="s">
        <v>3132</v>
      </c>
    </row>
    <row r="688" spans="1:6" ht="14.25">
      <c r="A688" s="2945">
        <v>686</v>
      </c>
      <c r="B688" s="2947" t="s">
        <v>3069</v>
      </c>
      <c r="C688" s="2945" t="s">
        <v>70</v>
      </c>
      <c r="D688" s="2945" t="s">
        <v>3610</v>
      </c>
      <c r="E688" s="2945">
        <v>68.209999999999994</v>
      </c>
      <c r="F688" s="2947" t="s">
        <v>3132</v>
      </c>
    </row>
    <row r="689" spans="1:6" ht="14.25">
      <c r="A689" s="2945">
        <v>687</v>
      </c>
      <c r="B689" s="2947" t="s">
        <v>3069</v>
      </c>
      <c r="C689" s="2945" t="s">
        <v>70</v>
      </c>
      <c r="D689" s="2945" t="s">
        <v>3611</v>
      </c>
      <c r="E689" s="2945">
        <v>68.209999999999994</v>
      </c>
      <c r="F689" s="2947" t="s">
        <v>3132</v>
      </c>
    </row>
    <row r="690" spans="1:6" ht="14.25">
      <c r="A690" s="2945">
        <v>688</v>
      </c>
      <c r="B690" s="2947" t="s">
        <v>3069</v>
      </c>
      <c r="C690" s="2945" t="s">
        <v>70</v>
      </c>
      <c r="D690" s="2945" t="s">
        <v>3612</v>
      </c>
      <c r="E690" s="2945">
        <v>105.23</v>
      </c>
      <c r="F690" s="2947" t="s">
        <v>3132</v>
      </c>
    </row>
    <row r="691" spans="1:6" ht="14.25">
      <c r="A691" s="2945">
        <v>689</v>
      </c>
      <c r="B691" s="2947" t="s">
        <v>3069</v>
      </c>
      <c r="C691" s="2945" t="s">
        <v>70</v>
      </c>
      <c r="D691" s="2945" t="s">
        <v>3613</v>
      </c>
      <c r="E691" s="2945">
        <v>105.23</v>
      </c>
      <c r="F691" s="2947" t="s">
        <v>3132</v>
      </c>
    </row>
    <row r="692" spans="1:6" ht="14.25">
      <c r="A692" s="2945">
        <v>690</v>
      </c>
      <c r="B692" s="2947" t="s">
        <v>3069</v>
      </c>
      <c r="C692" s="2945" t="s">
        <v>70</v>
      </c>
      <c r="D692" s="2945" t="s">
        <v>3614</v>
      </c>
      <c r="E692" s="2945">
        <v>68.209999999999994</v>
      </c>
      <c r="F692" s="2947" t="s">
        <v>3132</v>
      </c>
    </row>
    <row r="693" spans="1:6" ht="14.25">
      <c r="A693" s="2945">
        <v>691</v>
      </c>
      <c r="B693" s="2947" t="s">
        <v>3069</v>
      </c>
      <c r="C693" s="2945" t="s">
        <v>70</v>
      </c>
      <c r="D693" s="2945" t="s">
        <v>3615</v>
      </c>
      <c r="E693" s="2945">
        <v>68.209999999999994</v>
      </c>
      <c r="F693" s="2947" t="s">
        <v>3132</v>
      </c>
    </row>
    <row r="694" spans="1:6" ht="14.25">
      <c r="A694" s="2945">
        <v>692</v>
      </c>
      <c r="B694" s="2947" t="s">
        <v>3069</v>
      </c>
      <c r="C694" s="2945" t="s">
        <v>70</v>
      </c>
      <c r="D694" s="2945" t="s">
        <v>3616</v>
      </c>
      <c r="E694" s="2945">
        <v>68.209999999999994</v>
      </c>
      <c r="F694" s="2947" t="s">
        <v>3132</v>
      </c>
    </row>
    <row r="695" spans="1:6" ht="14.25">
      <c r="A695" s="2945">
        <v>693</v>
      </c>
      <c r="B695" s="2947" t="s">
        <v>3069</v>
      </c>
      <c r="C695" s="2945" t="s">
        <v>70</v>
      </c>
      <c r="D695" s="2945" t="s">
        <v>3617</v>
      </c>
      <c r="E695" s="2945">
        <v>68.209999999999994</v>
      </c>
      <c r="F695" s="2947" t="s">
        <v>3132</v>
      </c>
    </row>
    <row r="696" spans="1:6" ht="14.25">
      <c r="A696" s="2945">
        <v>694</v>
      </c>
      <c r="B696" s="2947" t="s">
        <v>3069</v>
      </c>
      <c r="C696" s="2945" t="s">
        <v>70</v>
      </c>
      <c r="D696" s="2945" t="s">
        <v>3618</v>
      </c>
      <c r="E696" s="2945">
        <v>137.63</v>
      </c>
      <c r="F696" s="2947" t="s">
        <v>3132</v>
      </c>
    </row>
    <row r="697" spans="1:6" ht="14.25">
      <c r="A697" s="2945">
        <v>695</v>
      </c>
      <c r="B697" s="2947" t="s">
        <v>3069</v>
      </c>
      <c r="C697" s="2945" t="s">
        <v>70</v>
      </c>
      <c r="D697" s="2945" t="s">
        <v>3619</v>
      </c>
      <c r="E697" s="2945">
        <v>68.209999999999994</v>
      </c>
      <c r="F697" s="2947" t="s">
        <v>3132</v>
      </c>
    </row>
    <row r="698" spans="1:6" ht="14.25">
      <c r="A698" s="2945">
        <v>696</v>
      </c>
      <c r="B698" s="2947" t="s">
        <v>3069</v>
      </c>
      <c r="C698" s="2945" t="s">
        <v>70</v>
      </c>
      <c r="D698" s="2945" t="s">
        <v>3620</v>
      </c>
      <c r="E698" s="2945">
        <v>137.63</v>
      </c>
      <c r="F698" s="2947" t="s">
        <v>3132</v>
      </c>
    </row>
    <row r="699" spans="1:6" ht="14.25">
      <c r="A699" s="2945">
        <v>697</v>
      </c>
      <c r="B699" s="2947" t="s">
        <v>3069</v>
      </c>
      <c r="C699" s="2945" t="s">
        <v>70</v>
      </c>
      <c r="D699" s="2945" t="s">
        <v>3621</v>
      </c>
      <c r="E699" s="2945">
        <v>68.209999999999994</v>
      </c>
      <c r="F699" s="2947" t="s">
        <v>3132</v>
      </c>
    </row>
    <row r="700" spans="1:6" ht="14.25">
      <c r="A700" s="2945">
        <v>698</v>
      </c>
      <c r="B700" s="2947" t="s">
        <v>3069</v>
      </c>
      <c r="C700" s="2945" t="s">
        <v>70</v>
      </c>
      <c r="D700" s="2945" t="s">
        <v>3622</v>
      </c>
      <c r="E700" s="2945">
        <v>68.209999999999994</v>
      </c>
      <c r="F700" s="2947" t="s">
        <v>3132</v>
      </c>
    </row>
    <row r="701" spans="1:6" ht="14.25">
      <c r="A701" s="2945">
        <v>699</v>
      </c>
      <c r="B701" s="2947" t="s">
        <v>3069</v>
      </c>
      <c r="C701" s="2945" t="s">
        <v>70</v>
      </c>
      <c r="D701" s="2945" t="s">
        <v>3623</v>
      </c>
      <c r="E701" s="2945">
        <v>68.209999999999994</v>
      </c>
      <c r="F701" s="2947" t="s">
        <v>3132</v>
      </c>
    </row>
    <row r="702" spans="1:6" ht="14.25">
      <c r="A702" s="2945">
        <v>700</v>
      </c>
      <c r="B702" s="2947" t="s">
        <v>3069</v>
      </c>
      <c r="C702" s="2945" t="s">
        <v>70</v>
      </c>
      <c r="D702" s="2945" t="s">
        <v>3624</v>
      </c>
      <c r="E702" s="2945">
        <v>68.209999999999994</v>
      </c>
      <c r="F702" s="2947" t="s">
        <v>3132</v>
      </c>
    </row>
    <row r="703" spans="1:6" ht="14.25">
      <c r="A703" s="2945">
        <v>701</v>
      </c>
      <c r="B703" s="2947" t="s">
        <v>3069</v>
      </c>
      <c r="C703" s="2945" t="s">
        <v>70</v>
      </c>
      <c r="D703" s="2945" t="s">
        <v>3625</v>
      </c>
      <c r="E703" s="2945">
        <v>116.92</v>
      </c>
      <c r="F703" s="2947" t="s">
        <v>3132</v>
      </c>
    </row>
    <row r="704" spans="1:6" ht="14.25">
      <c r="A704" s="2945">
        <v>702</v>
      </c>
      <c r="B704" s="2947" t="s">
        <v>3069</v>
      </c>
      <c r="C704" s="2945" t="s">
        <v>70</v>
      </c>
      <c r="D704" s="2945" t="s">
        <v>3626</v>
      </c>
      <c r="E704" s="2945">
        <v>68.209999999999994</v>
      </c>
      <c r="F704" s="2947" t="s">
        <v>3132</v>
      </c>
    </row>
    <row r="705" spans="1:6" ht="14.25">
      <c r="A705" s="2945">
        <v>703</v>
      </c>
      <c r="B705" s="2947" t="s">
        <v>3069</v>
      </c>
      <c r="C705" s="2945" t="s">
        <v>70</v>
      </c>
      <c r="D705" s="2945" t="s">
        <v>3627</v>
      </c>
      <c r="E705" s="2945">
        <v>137.63</v>
      </c>
      <c r="F705" s="2947" t="s">
        <v>3132</v>
      </c>
    </row>
    <row r="706" spans="1:6" ht="14.25">
      <c r="A706" s="2945">
        <v>704</v>
      </c>
      <c r="B706" s="2947" t="s">
        <v>3069</v>
      </c>
      <c r="C706" s="2945" t="s">
        <v>70</v>
      </c>
      <c r="D706" s="2945" t="s">
        <v>3628</v>
      </c>
      <c r="E706" s="2945">
        <v>127.89</v>
      </c>
      <c r="F706" s="2947" t="s">
        <v>3132</v>
      </c>
    </row>
    <row r="707" spans="1:6" ht="14.25">
      <c r="A707" s="2945">
        <v>705</v>
      </c>
      <c r="B707" s="2947" t="s">
        <v>3069</v>
      </c>
      <c r="C707" s="2945" t="s">
        <v>70</v>
      </c>
      <c r="D707" s="2945" t="s">
        <v>3629</v>
      </c>
      <c r="E707" s="2945">
        <v>68.209999999999994</v>
      </c>
      <c r="F707" s="2947" t="s">
        <v>3132</v>
      </c>
    </row>
    <row r="708" spans="1:6" ht="14.25">
      <c r="A708" s="2945">
        <v>706</v>
      </c>
      <c r="B708" s="2947" t="s">
        <v>3069</v>
      </c>
      <c r="C708" s="2945" t="s">
        <v>70</v>
      </c>
      <c r="D708" s="2945" t="s">
        <v>3630</v>
      </c>
      <c r="E708" s="2945">
        <v>68.209999999999994</v>
      </c>
      <c r="F708" s="2947" t="s">
        <v>3132</v>
      </c>
    </row>
    <row r="709" spans="1:6" ht="14.25">
      <c r="A709" s="2945">
        <v>707</v>
      </c>
      <c r="B709" s="2947" t="s">
        <v>3069</v>
      </c>
      <c r="C709" s="2945" t="s">
        <v>70</v>
      </c>
      <c r="D709" s="2945" t="s">
        <v>3631</v>
      </c>
      <c r="E709" s="2945">
        <v>68.209999999999994</v>
      </c>
      <c r="F709" s="2947" t="s">
        <v>3132</v>
      </c>
    </row>
    <row r="710" spans="1:6" ht="14.25">
      <c r="A710" s="2945">
        <v>708</v>
      </c>
      <c r="B710" s="2947" t="s">
        <v>3069</v>
      </c>
      <c r="C710" s="2945" t="s">
        <v>70</v>
      </c>
      <c r="D710" s="2945" t="s">
        <v>3632</v>
      </c>
      <c r="E710" s="2945">
        <v>68.209999999999994</v>
      </c>
      <c r="F710" s="2947" t="s">
        <v>3132</v>
      </c>
    </row>
    <row r="711" spans="1:6" ht="14.25">
      <c r="A711" s="2945">
        <v>709</v>
      </c>
      <c r="B711" s="2947" t="s">
        <v>3069</v>
      </c>
      <c r="C711" s="2945" t="s">
        <v>70</v>
      </c>
      <c r="D711" s="2945" t="s">
        <v>3633</v>
      </c>
      <c r="E711" s="2945">
        <v>68.209999999999994</v>
      </c>
      <c r="F711" s="2947" t="s">
        <v>3132</v>
      </c>
    </row>
    <row r="712" spans="1:6" ht="14.25">
      <c r="A712" s="2945">
        <v>710</v>
      </c>
      <c r="B712" s="2947" t="s">
        <v>3069</v>
      </c>
      <c r="C712" s="2945" t="s">
        <v>70</v>
      </c>
      <c r="D712" s="2945" t="s">
        <v>3634</v>
      </c>
      <c r="E712" s="2945">
        <v>58.46</v>
      </c>
      <c r="F712" s="2947" t="s">
        <v>3132</v>
      </c>
    </row>
    <row r="713" spans="1:6" ht="14.25">
      <c r="A713" s="2945">
        <v>711</v>
      </c>
      <c r="B713" s="2947" t="s">
        <v>3069</v>
      </c>
      <c r="C713" s="2945" t="s">
        <v>70</v>
      </c>
      <c r="D713" s="2945" t="s">
        <v>3635</v>
      </c>
      <c r="E713" s="2945">
        <v>58.46</v>
      </c>
      <c r="F713" s="2947" t="s">
        <v>3132</v>
      </c>
    </row>
    <row r="714" spans="1:6" ht="14.25">
      <c r="A714" s="2945">
        <v>712</v>
      </c>
      <c r="B714" s="2947" t="s">
        <v>3069</v>
      </c>
      <c r="C714" s="2945" t="s">
        <v>70</v>
      </c>
      <c r="D714" s="2945" t="s">
        <v>3636</v>
      </c>
      <c r="E714" s="2945">
        <v>68.209999999999994</v>
      </c>
      <c r="F714" s="2947" t="s">
        <v>3132</v>
      </c>
    </row>
    <row r="715" spans="1:6" ht="14.25">
      <c r="A715" s="2945">
        <v>713</v>
      </c>
      <c r="B715" s="2947" t="s">
        <v>3069</v>
      </c>
      <c r="C715" s="2945" t="s">
        <v>70</v>
      </c>
      <c r="D715" s="2945" t="s">
        <v>3637</v>
      </c>
      <c r="E715" s="2945">
        <v>68.209999999999994</v>
      </c>
      <c r="F715" s="2947" t="s">
        <v>3132</v>
      </c>
    </row>
    <row r="716" spans="1:6" ht="14.25">
      <c r="A716" s="2945">
        <v>714</v>
      </c>
      <c r="B716" s="2947" t="s">
        <v>3069</v>
      </c>
      <c r="C716" s="2945" t="s">
        <v>70</v>
      </c>
      <c r="D716" s="2945" t="s">
        <v>3638</v>
      </c>
      <c r="E716" s="2945">
        <v>68.209999999999994</v>
      </c>
      <c r="F716" s="2947" t="s">
        <v>3132</v>
      </c>
    </row>
    <row r="717" spans="1:6" ht="14.25">
      <c r="A717" s="2945">
        <v>715</v>
      </c>
      <c r="B717" s="2947" t="s">
        <v>3069</v>
      </c>
      <c r="C717" s="2945" t="s">
        <v>70</v>
      </c>
      <c r="D717" s="2945" t="s">
        <v>3639</v>
      </c>
      <c r="E717" s="2945">
        <v>68.209999999999994</v>
      </c>
      <c r="F717" s="2947" t="s">
        <v>3132</v>
      </c>
    </row>
    <row r="718" spans="1:6" ht="14.25">
      <c r="A718" s="2945">
        <v>716</v>
      </c>
      <c r="B718" s="2947" t="s">
        <v>3069</v>
      </c>
      <c r="C718" s="2945" t="s">
        <v>70</v>
      </c>
      <c r="D718" s="2945" t="s">
        <v>3640</v>
      </c>
      <c r="E718" s="2945">
        <v>68.209999999999994</v>
      </c>
      <c r="F718" s="2947" t="s">
        <v>3132</v>
      </c>
    </row>
    <row r="719" spans="1:6" ht="14.25">
      <c r="A719" s="2945">
        <v>717</v>
      </c>
      <c r="B719" s="2947" t="s">
        <v>3069</v>
      </c>
      <c r="C719" s="2945" t="s">
        <v>70</v>
      </c>
      <c r="D719" s="2945" t="s">
        <v>3641</v>
      </c>
      <c r="E719" s="2945">
        <v>68.209999999999994</v>
      </c>
      <c r="F719" s="2947" t="s">
        <v>3132</v>
      </c>
    </row>
    <row r="720" spans="1:6" ht="14.25">
      <c r="A720" s="2945">
        <v>718</v>
      </c>
      <c r="B720" s="2947" t="s">
        <v>3069</v>
      </c>
      <c r="C720" s="2945" t="s">
        <v>70</v>
      </c>
      <c r="D720" s="2945" t="s">
        <v>3642</v>
      </c>
      <c r="E720" s="2945">
        <v>68.209999999999994</v>
      </c>
      <c r="F720" s="2947" t="s">
        <v>3132</v>
      </c>
    </row>
    <row r="721" spans="1:6" ht="14.25">
      <c r="A721" s="2945">
        <v>719</v>
      </c>
      <c r="B721" s="2947" t="s">
        <v>3069</v>
      </c>
      <c r="C721" s="2945" t="s">
        <v>70</v>
      </c>
      <c r="D721" s="2945" t="s">
        <v>3643</v>
      </c>
      <c r="E721" s="2945">
        <v>68.209999999999994</v>
      </c>
      <c r="F721" s="2947" t="s">
        <v>3132</v>
      </c>
    </row>
    <row r="722" spans="1:6" ht="14.25">
      <c r="A722" s="2945">
        <v>720</v>
      </c>
      <c r="B722" s="2947" t="s">
        <v>3069</v>
      </c>
      <c r="C722" s="2945" t="s">
        <v>70</v>
      </c>
      <c r="D722" s="2945" t="s">
        <v>3644</v>
      </c>
      <c r="E722" s="2945">
        <v>68.209999999999994</v>
      </c>
      <c r="F722" s="2947" t="s">
        <v>3132</v>
      </c>
    </row>
    <row r="723" spans="1:6" ht="14.25">
      <c r="A723" s="2945">
        <v>721</v>
      </c>
      <c r="B723" s="2947" t="s">
        <v>3069</v>
      </c>
      <c r="C723" s="2945" t="s">
        <v>70</v>
      </c>
      <c r="D723" s="2945" t="s">
        <v>3645</v>
      </c>
      <c r="E723" s="2945">
        <v>68.209999999999994</v>
      </c>
      <c r="F723" s="2947" t="s">
        <v>3132</v>
      </c>
    </row>
    <row r="724" spans="1:6" ht="14.25">
      <c r="A724" s="2945">
        <v>722</v>
      </c>
      <c r="B724" s="2947" t="s">
        <v>3069</v>
      </c>
      <c r="C724" s="2945" t="s">
        <v>70</v>
      </c>
      <c r="D724" s="2945" t="s">
        <v>3646</v>
      </c>
      <c r="E724" s="2945">
        <v>68.209999999999994</v>
      </c>
      <c r="F724" s="2947" t="s">
        <v>3132</v>
      </c>
    </row>
    <row r="725" spans="1:6" ht="14.25">
      <c r="A725" s="2945">
        <v>723</v>
      </c>
      <c r="B725" s="2947" t="s">
        <v>3069</v>
      </c>
      <c r="C725" s="2945" t="s">
        <v>70</v>
      </c>
      <c r="D725" s="2945" t="s">
        <v>3647</v>
      </c>
      <c r="E725" s="2945">
        <v>68.209999999999994</v>
      </c>
      <c r="F725" s="2947" t="s">
        <v>3132</v>
      </c>
    </row>
    <row r="726" spans="1:6" ht="14.25">
      <c r="A726" s="2945">
        <v>724</v>
      </c>
      <c r="B726" s="2947" t="s">
        <v>3069</v>
      </c>
      <c r="C726" s="2945" t="s">
        <v>70</v>
      </c>
      <c r="D726" s="2945" t="s">
        <v>3648</v>
      </c>
      <c r="E726" s="2945">
        <v>68.209999999999994</v>
      </c>
      <c r="F726" s="2947" t="s">
        <v>3132</v>
      </c>
    </row>
    <row r="727" spans="1:6" ht="14.25">
      <c r="A727" s="2945">
        <v>725</v>
      </c>
      <c r="B727" s="2947" t="s">
        <v>3069</v>
      </c>
      <c r="C727" s="2945" t="s">
        <v>70</v>
      </c>
      <c r="D727" s="2945" t="s">
        <v>3649</v>
      </c>
      <c r="E727" s="2945">
        <v>68.209999999999994</v>
      </c>
      <c r="F727" s="2947" t="s">
        <v>3132</v>
      </c>
    </row>
    <row r="728" spans="1:6" ht="14.25">
      <c r="A728" s="2945">
        <v>726</v>
      </c>
      <c r="B728" s="2947" t="s">
        <v>3069</v>
      </c>
      <c r="C728" s="2945" t="s">
        <v>70</v>
      </c>
      <c r="D728" s="2945" t="s">
        <v>3650</v>
      </c>
      <c r="E728" s="2945">
        <v>68.209999999999994</v>
      </c>
      <c r="F728" s="2947" t="s">
        <v>3132</v>
      </c>
    </row>
    <row r="729" spans="1:6" ht="14.25">
      <c r="A729" s="2945">
        <v>727</v>
      </c>
      <c r="B729" s="2947" t="s">
        <v>3069</v>
      </c>
      <c r="C729" s="2945" t="s">
        <v>70</v>
      </c>
      <c r="D729" s="2945" t="s">
        <v>3651</v>
      </c>
      <c r="E729" s="2945">
        <v>68.209999999999994</v>
      </c>
      <c r="F729" s="2947" t="s">
        <v>3132</v>
      </c>
    </row>
    <row r="730" spans="1:6" ht="14.25">
      <c r="A730" s="2945">
        <v>728</v>
      </c>
      <c r="B730" s="2947" t="s">
        <v>3069</v>
      </c>
      <c r="C730" s="2945" t="s">
        <v>70</v>
      </c>
      <c r="D730" s="2945" t="s">
        <v>3652</v>
      </c>
      <c r="E730" s="2945">
        <v>68.209999999999994</v>
      </c>
      <c r="F730" s="2947" t="s">
        <v>3132</v>
      </c>
    </row>
    <row r="731" spans="1:6" ht="14.25">
      <c r="A731" s="2945">
        <v>729</v>
      </c>
      <c r="B731" s="2947" t="s">
        <v>3069</v>
      </c>
      <c r="C731" s="2945" t="s">
        <v>70</v>
      </c>
      <c r="D731" s="2945" t="s">
        <v>3653</v>
      </c>
      <c r="E731" s="2945">
        <v>68.209999999999994</v>
      </c>
      <c r="F731" s="2947" t="s">
        <v>3132</v>
      </c>
    </row>
    <row r="732" spans="1:6" ht="14.25">
      <c r="A732" s="2945">
        <v>730</v>
      </c>
      <c r="B732" s="2947" t="s">
        <v>3069</v>
      </c>
      <c r="C732" s="2945" t="s">
        <v>70</v>
      </c>
      <c r="D732" s="2945" t="s">
        <v>3654</v>
      </c>
      <c r="E732" s="2945">
        <v>68.209999999999994</v>
      </c>
      <c r="F732" s="2947" t="s">
        <v>3132</v>
      </c>
    </row>
    <row r="733" spans="1:6" ht="14.25">
      <c r="A733" s="2945">
        <v>731</v>
      </c>
      <c r="B733" s="2947" t="s">
        <v>3069</v>
      </c>
      <c r="C733" s="2945" t="s">
        <v>70</v>
      </c>
      <c r="D733" s="2945" t="s">
        <v>3655</v>
      </c>
      <c r="E733" s="2945">
        <v>68.209999999999994</v>
      </c>
      <c r="F733" s="2947" t="s">
        <v>3132</v>
      </c>
    </row>
    <row r="734" spans="1:6" ht="14.25">
      <c r="A734" s="2945">
        <v>732</v>
      </c>
      <c r="B734" s="2947" t="s">
        <v>3069</v>
      </c>
      <c r="C734" s="2945" t="s">
        <v>70</v>
      </c>
      <c r="D734" s="2945" t="s">
        <v>3656</v>
      </c>
      <c r="E734" s="2945">
        <v>68.209999999999994</v>
      </c>
      <c r="F734" s="2947" t="s">
        <v>3132</v>
      </c>
    </row>
    <row r="735" spans="1:6" ht="14.25">
      <c r="A735" s="2945">
        <v>733</v>
      </c>
      <c r="B735" s="2947" t="s">
        <v>3069</v>
      </c>
      <c r="C735" s="2945" t="s">
        <v>70</v>
      </c>
      <c r="D735" s="2945" t="s">
        <v>3657</v>
      </c>
      <c r="E735" s="2945">
        <v>52.62</v>
      </c>
      <c r="F735" s="2947" t="s">
        <v>3132</v>
      </c>
    </row>
    <row r="736" spans="1:6" ht="14.25">
      <c r="A736" s="2945">
        <v>734</v>
      </c>
      <c r="B736" s="2947" t="s">
        <v>3069</v>
      </c>
      <c r="C736" s="2945" t="s">
        <v>70</v>
      </c>
      <c r="D736" s="2945" t="s">
        <v>3658</v>
      </c>
      <c r="E736" s="2945">
        <v>52.62</v>
      </c>
      <c r="F736" s="2947" t="s">
        <v>3132</v>
      </c>
    </row>
    <row r="737" spans="1:6" ht="14.25">
      <c r="A737" s="2945">
        <v>735</v>
      </c>
      <c r="B737" s="2947" t="s">
        <v>3069</v>
      </c>
      <c r="C737" s="2945" t="s">
        <v>70</v>
      </c>
      <c r="D737" s="2945" t="s">
        <v>3659</v>
      </c>
      <c r="E737" s="2945">
        <v>58.79</v>
      </c>
      <c r="F737" s="2947" t="s">
        <v>3132</v>
      </c>
    </row>
    <row r="738" spans="1:6" ht="14.25">
      <c r="A738" s="2945">
        <v>736</v>
      </c>
      <c r="B738" s="2947" t="s">
        <v>3069</v>
      </c>
      <c r="C738" s="2945" t="s">
        <v>70</v>
      </c>
      <c r="D738" s="2945" t="s">
        <v>3660</v>
      </c>
      <c r="E738" s="2945">
        <v>58.79</v>
      </c>
      <c r="F738" s="2947" t="s">
        <v>3132</v>
      </c>
    </row>
    <row r="739" spans="1:6" ht="14.25">
      <c r="A739" s="2945">
        <v>737</v>
      </c>
      <c r="B739" s="2947" t="s">
        <v>3069</v>
      </c>
      <c r="C739" s="2945" t="s">
        <v>70</v>
      </c>
      <c r="D739" s="2945" t="s">
        <v>3661</v>
      </c>
      <c r="E739" s="2945">
        <v>68.209999999999994</v>
      </c>
      <c r="F739" s="2947" t="s">
        <v>3132</v>
      </c>
    </row>
    <row r="740" spans="1:6" ht="14.25">
      <c r="A740" s="2945">
        <v>738</v>
      </c>
      <c r="B740" s="2947" t="s">
        <v>3069</v>
      </c>
      <c r="C740" s="2945" t="s">
        <v>70</v>
      </c>
      <c r="D740" s="2945" t="s">
        <v>3662</v>
      </c>
      <c r="E740" s="2945">
        <v>68.209999999999994</v>
      </c>
      <c r="F740" s="2947" t="s">
        <v>3132</v>
      </c>
    </row>
    <row r="741" spans="1:6" ht="14.25">
      <c r="A741" s="2945">
        <v>739</v>
      </c>
      <c r="B741" s="2947" t="s">
        <v>3069</v>
      </c>
      <c r="C741" s="2945" t="s">
        <v>70</v>
      </c>
      <c r="D741" s="2945" t="s">
        <v>3663</v>
      </c>
      <c r="E741" s="2945">
        <v>68.209999999999994</v>
      </c>
      <c r="F741" s="2947" t="s">
        <v>3132</v>
      </c>
    </row>
    <row r="742" spans="1:6" ht="14.25">
      <c r="A742" s="2945">
        <v>740</v>
      </c>
      <c r="B742" s="2947" t="s">
        <v>3069</v>
      </c>
      <c r="C742" s="2945" t="s">
        <v>70</v>
      </c>
      <c r="D742" s="2945" t="s">
        <v>3664</v>
      </c>
      <c r="E742" s="2945">
        <v>68.209999999999994</v>
      </c>
      <c r="F742" s="2947" t="s">
        <v>3132</v>
      </c>
    </row>
    <row r="743" spans="1:6" ht="14.25">
      <c r="A743" s="2945">
        <v>741</v>
      </c>
      <c r="B743" s="2947" t="s">
        <v>3069</v>
      </c>
      <c r="C743" s="2945" t="s">
        <v>70</v>
      </c>
      <c r="D743" s="2945" t="s">
        <v>3665</v>
      </c>
      <c r="E743" s="2945">
        <v>68.209999999999994</v>
      </c>
      <c r="F743" s="2947" t="s">
        <v>3132</v>
      </c>
    </row>
    <row r="744" spans="1:6" ht="14.25">
      <c r="A744" s="2945">
        <v>742</v>
      </c>
      <c r="B744" s="2947" t="s">
        <v>3069</v>
      </c>
      <c r="C744" s="2945" t="s">
        <v>70</v>
      </c>
      <c r="D744" s="2945" t="s">
        <v>3666</v>
      </c>
      <c r="E744" s="2945">
        <v>68.209999999999994</v>
      </c>
      <c r="F744" s="2947" t="s">
        <v>3132</v>
      </c>
    </row>
    <row r="745" spans="1:6" ht="14.25">
      <c r="A745" s="2945">
        <v>743</v>
      </c>
      <c r="B745" s="2947" t="s">
        <v>3069</v>
      </c>
      <c r="C745" s="2945" t="s">
        <v>70</v>
      </c>
      <c r="D745" s="2945" t="s">
        <v>3667</v>
      </c>
      <c r="E745" s="2945">
        <v>68.209999999999994</v>
      </c>
      <c r="F745" s="2947" t="s">
        <v>3132</v>
      </c>
    </row>
    <row r="746" spans="1:6" ht="14.25">
      <c r="A746" s="2945">
        <v>744</v>
      </c>
      <c r="B746" s="2947" t="s">
        <v>3069</v>
      </c>
      <c r="C746" s="2945" t="s">
        <v>70</v>
      </c>
      <c r="D746" s="2945" t="s">
        <v>3668</v>
      </c>
      <c r="E746" s="2945">
        <v>68.209999999999994</v>
      </c>
      <c r="F746" s="2947" t="s">
        <v>3132</v>
      </c>
    </row>
    <row r="747" spans="1:6" ht="14.25">
      <c r="A747" s="2945">
        <v>745</v>
      </c>
      <c r="B747" s="2947" t="s">
        <v>3069</v>
      </c>
      <c r="C747" s="2945" t="s">
        <v>70</v>
      </c>
      <c r="D747" s="2945" t="s">
        <v>3669</v>
      </c>
      <c r="E747" s="2945">
        <v>68.209999999999994</v>
      </c>
      <c r="F747" s="2947" t="s">
        <v>3132</v>
      </c>
    </row>
    <row r="748" spans="1:6" ht="14.25">
      <c r="A748" s="2945">
        <v>746</v>
      </c>
      <c r="B748" s="2947" t="s">
        <v>3069</v>
      </c>
      <c r="C748" s="2945" t="s">
        <v>70</v>
      </c>
      <c r="D748" s="2945" t="s">
        <v>3670</v>
      </c>
      <c r="E748" s="2945">
        <v>68.209999999999994</v>
      </c>
      <c r="F748" s="2947" t="s">
        <v>3132</v>
      </c>
    </row>
    <row r="749" spans="1:6" ht="14.25">
      <c r="A749" s="2945">
        <v>747</v>
      </c>
      <c r="B749" s="2947" t="s">
        <v>3069</v>
      </c>
      <c r="C749" s="2945" t="s">
        <v>70</v>
      </c>
      <c r="D749" s="2945" t="s">
        <v>3671</v>
      </c>
      <c r="E749" s="2945">
        <v>68.209999999999994</v>
      </c>
      <c r="F749" s="2947" t="s">
        <v>3132</v>
      </c>
    </row>
    <row r="750" spans="1:6" ht="14.25">
      <c r="A750" s="2945">
        <v>748</v>
      </c>
      <c r="B750" s="2947" t="s">
        <v>3069</v>
      </c>
      <c r="C750" s="2945" t="s">
        <v>70</v>
      </c>
      <c r="D750" s="2945" t="s">
        <v>3672</v>
      </c>
      <c r="E750" s="2945">
        <v>58.46</v>
      </c>
      <c r="F750" s="2947" t="s">
        <v>3132</v>
      </c>
    </row>
    <row r="751" spans="1:6" ht="14.25">
      <c r="A751" s="2945">
        <v>749</v>
      </c>
      <c r="B751" s="2947" t="s">
        <v>3069</v>
      </c>
      <c r="C751" s="2945" t="s">
        <v>70</v>
      </c>
      <c r="D751" s="2945" t="s">
        <v>3673</v>
      </c>
      <c r="E751" s="2945">
        <v>68.209999999999994</v>
      </c>
      <c r="F751" s="2947" t="s">
        <v>3132</v>
      </c>
    </row>
    <row r="752" spans="1:6" ht="14.25">
      <c r="A752" s="2945">
        <v>750</v>
      </c>
      <c r="B752" s="2947" t="s">
        <v>3069</v>
      </c>
      <c r="C752" s="2945" t="s">
        <v>70</v>
      </c>
      <c r="D752" s="2945" t="s">
        <v>3674</v>
      </c>
      <c r="E752" s="2945">
        <v>68.209999999999994</v>
      </c>
      <c r="F752" s="2947" t="s">
        <v>3132</v>
      </c>
    </row>
    <row r="753" spans="1:6" ht="14.25">
      <c r="A753" s="2945">
        <v>751</v>
      </c>
      <c r="B753" s="2947" t="s">
        <v>3069</v>
      </c>
      <c r="C753" s="2945" t="s">
        <v>70</v>
      </c>
      <c r="D753" s="2945" t="s">
        <v>3675</v>
      </c>
      <c r="E753" s="2945">
        <v>68.209999999999994</v>
      </c>
      <c r="F753" s="2947" t="s">
        <v>3132</v>
      </c>
    </row>
    <row r="754" spans="1:6" ht="14.25">
      <c r="A754" s="2945">
        <v>752</v>
      </c>
      <c r="B754" s="2947" t="s">
        <v>3069</v>
      </c>
      <c r="C754" s="2945" t="s">
        <v>70</v>
      </c>
      <c r="D754" s="2945" t="s">
        <v>3676</v>
      </c>
      <c r="E754" s="2945">
        <v>68.209999999999994</v>
      </c>
      <c r="F754" s="2952" t="s">
        <v>3132</v>
      </c>
    </row>
    <row r="755" spans="1:6" ht="14.25">
      <c r="A755" s="2945">
        <v>753</v>
      </c>
      <c r="B755" s="2947" t="s">
        <v>3069</v>
      </c>
      <c r="C755" s="2945" t="s">
        <v>70</v>
      </c>
      <c r="D755" s="2945" t="s">
        <v>3677</v>
      </c>
      <c r="E755" s="2945">
        <v>68.209999999999994</v>
      </c>
      <c r="F755" s="2952" t="s">
        <v>3132</v>
      </c>
    </row>
    <row r="756" spans="1:6" ht="14.25">
      <c r="A756" s="2945">
        <v>754</v>
      </c>
      <c r="B756" s="2947" t="s">
        <v>3069</v>
      </c>
      <c r="C756" s="2945" t="s">
        <v>70</v>
      </c>
      <c r="D756" s="2945" t="s">
        <v>3678</v>
      </c>
      <c r="E756" s="2945">
        <v>68.209999999999994</v>
      </c>
      <c r="F756" s="2952" t="s">
        <v>3132</v>
      </c>
    </row>
    <row r="757" spans="1:6" ht="14.25">
      <c r="A757" s="2945">
        <v>755</v>
      </c>
      <c r="B757" s="2947" t="s">
        <v>3069</v>
      </c>
      <c r="C757" s="2945" t="s">
        <v>70</v>
      </c>
      <c r="D757" s="2945" t="s">
        <v>3679</v>
      </c>
      <c r="E757" s="2945">
        <v>68.209999999999994</v>
      </c>
      <c r="F757" s="2952" t="s">
        <v>3132</v>
      </c>
    </row>
    <row r="758" spans="1:6" ht="14.25">
      <c r="A758" s="2945">
        <v>756</v>
      </c>
      <c r="B758" s="2947" t="s">
        <v>3069</v>
      </c>
      <c r="C758" s="2945" t="s">
        <v>70</v>
      </c>
      <c r="D758" s="2945" t="s">
        <v>3680</v>
      </c>
      <c r="E758" s="2945">
        <v>68.209999999999994</v>
      </c>
      <c r="F758" s="2952" t="s">
        <v>3132</v>
      </c>
    </row>
    <row r="759" spans="1:6" ht="14.25">
      <c r="A759" s="2945">
        <v>757</v>
      </c>
      <c r="B759" s="2947" t="s">
        <v>3069</v>
      </c>
      <c r="C759" s="2945" t="s">
        <v>70</v>
      </c>
      <c r="D759" s="2945" t="s">
        <v>3681</v>
      </c>
      <c r="E759" s="2945">
        <v>58.46</v>
      </c>
      <c r="F759" s="2952" t="s">
        <v>3132</v>
      </c>
    </row>
    <row r="760" spans="1:6" ht="14.25">
      <c r="A760" s="2945">
        <v>758</v>
      </c>
      <c r="B760" s="2947" t="s">
        <v>3069</v>
      </c>
      <c r="C760" s="2945" t="s">
        <v>70</v>
      </c>
      <c r="D760" s="2945" t="s">
        <v>3682</v>
      </c>
      <c r="E760" s="2945">
        <v>58.46</v>
      </c>
      <c r="F760" s="2952" t="s">
        <v>3132</v>
      </c>
    </row>
    <row r="761" spans="1:6" ht="14.25">
      <c r="A761" s="2945">
        <v>759</v>
      </c>
      <c r="B761" s="2947" t="s">
        <v>3069</v>
      </c>
      <c r="C761" s="2945" t="s">
        <v>70</v>
      </c>
      <c r="D761" s="2945" t="s">
        <v>3683</v>
      </c>
      <c r="E761" s="2945">
        <v>58.46</v>
      </c>
      <c r="F761" s="2952" t="s">
        <v>3132</v>
      </c>
    </row>
    <row r="762" spans="1:6" ht="14.25">
      <c r="A762" s="2945">
        <v>760</v>
      </c>
      <c r="B762" s="2947" t="s">
        <v>3069</v>
      </c>
      <c r="C762" s="2945" t="s">
        <v>70</v>
      </c>
      <c r="D762" s="2945" t="s">
        <v>3684</v>
      </c>
      <c r="E762" s="2945">
        <v>58.46</v>
      </c>
      <c r="F762" s="2952" t="s">
        <v>3132</v>
      </c>
    </row>
    <row r="763" spans="1:6" ht="14.25">
      <c r="A763" s="2945">
        <v>761</v>
      </c>
      <c r="B763" s="2947" t="s">
        <v>3069</v>
      </c>
      <c r="C763" s="2945" t="s">
        <v>70</v>
      </c>
      <c r="D763" s="2945" t="s">
        <v>3685</v>
      </c>
      <c r="E763" s="2945">
        <v>68.209999999999994</v>
      </c>
      <c r="F763" s="2952" t="s">
        <v>3132</v>
      </c>
    </row>
    <row r="764" spans="1:6" ht="14.25">
      <c r="A764" s="2945">
        <v>762</v>
      </c>
      <c r="B764" s="2947" t="s">
        <v>3069</v>
      </c>
      <c r="C764" s="2945" t="s">
        <v>70</v>
      </c>
      <c r="D764" s="2945" t="s">
        <v>3686</v>
      </c>
      <c r="E764" s="2945">
        <v>68.209999999999994</v>
      </c>
      <c r="F764" s="2952" t="s">
        <v>3132</v>
      </c>
    </row>
    <row r="765" spans="1:6" ht="14.25">
      <c r="A765" s="2945">
        <v>763</v>
      </c>
      <c r="B765" s="2947" t="s">
        <v>3069</v>
      </c>
      <c r="C765" s="2945" t="s">
        <v>70</v>
      </c>
      <c r="D765" s="2945" t="s">
        <v>3687</v>
      </c>
      <c r="E765" s="2945">
        <v>68.209999999999994</v>
      </c>
      <c r="F765" s="2952" t="s">
        <v>3132</v>
      </c>
    </row>
    <row r="766" spans="1:6" ht="14.25">
      <c r="A766" s="2945">
        <v>764</v>
      </c>
      <c r="B766" s="2947" t="s">
        <v>3069</v>
      </c>
      <c r="C766" s="2945" t="s">
        <v>70</v>
      </c>
      <c r="D766" s="2945" t="s">
        <v>3688</v>
      </c>
      <c r="E766" s="2945">
        <v>68.209999999999994</v>
      </c>
      <c r="F766" s="2952" t="s">
        <v>3132</v>
      </c>
    </row>
    <row r="767" spans="1:6" ht="14.25">
      <c r="A767" s="2945">
        <v>765</v>
      </c>
      <c r="B767" s="2947" t="s">
        <v>3069</v>
      </c>
      <c r="C767" s="2945" t="s">
        <v>70</v>
      </c>
      <c r="D767" s="2945" t="s">
        <v>3689</v>
      </c>
      <c r="E767" s="2945">
        <v>68.209999999999994</v>
      </c>
      <c r="F767" s="2952" t="s">
        <v>3132</v>
      </c>
    </row>
    <row r="768" spans="1:6" ht="14.25">
      <c r="A768" s="2945">
        <v>766</v>
      </c>
      <c r="B768" s="2947" t="s">
        <v>3069</v>
      </c>
      <c r="C768" s="2945" t="s">
        <v>70</v>
      </c>
      <c r="D768" s="2945" t="s">
        <v>3690</v>
      </c>
      <c r="E768" s="2945">
        <v>68.209999999999994</v>
      </c>
      <c r="F768" s="2952" t="s">
        <v>3132</v>
      </c>
    </row>
    <row r="769" spans="1:6" ht="14.25">
      <c r="A769" s="2945">
        <v>767</v>
      </c>
      <c r="B769" s="2947" t="s">
        <v>3069</v>
      </c>
      <c r="C769" s="2945" t="s">
        <v>70</v>
      </c>
      <c r="D769" s="2945" t="s">
        <v>3691</v>
      </c>
      <c r="E769" s="2945">
        <v>68.209999999999994</v>
      </c>
      <c r="F769" s="2952" t="s">
        <v>3132</v>
      </c>
    </row>
    <row r="770" spans="1:6" ht="14.25">
      <c r="A770" s="2945">
        <v>768</v>
      </c>
      <c r="B770" s="2947" t="s">
        <v>3069</v>
      </c>
      <c r="C770" s="2945" t="s">
        <v>70</v>
      </c>
      <c r="D770" s="2945" t="s">
        <v>3692</v>
      </c>
      <c r="E770" s="2945">
        <v>52.62</v>
      </c>
      <c r="F770" s="2952" t="s">
        <v>3132</v>
      </c>
    </row>
    <row r="771" spans="1:6" ht="14.25">
      <c r="A771" s="2945">
        <v>769</v>
      </c>
      <c r="B771" s="2947" t="s">
        <v>3069</v>
      </c>
      <c r="C771" s="2945" t="s">
        <v>70</v>
      </c>
      <c r="D771" s="2945" t="s">
        <v>3693</v>
      </c>
      <c r="E771" s="2945">
        <v>52.62</v>
      </c>
      <c r="F771" s="2952" t="s">
        <v>3132</v>
      </c>
    </row>
    <row r="772" spans="1:6" ht="14.25">
      <c r="A772" s="2945">
        <v>770</v>
      </c>
      <c r="B772" s="2947" t="s">
        <v>3069</v>
      </c>
      <c r="C772" s="2945" t="s">
        <v>70</v>
      </c>
      <c r="D772" s="2945" t="s">
        <v>3694</v>
      </c>
      <c r="E772" s="2945">
        <v>68.209999999999994</v>
      </c>
      <c r="F772" s="2952" t="s">
        <v>3132</v>
      </c>
    </row>
    <row r="773" spans="1:6" ht="14.25">
      <c r="A773" s="2945">
        <v>771</v>
      </c>
      <c r="B773" s="2947" t="s">
        <v>3069</v>
      </c>
      <c r="C773" s="2945" t="s">
        <v>70</v>
      </c>
      <c r="D773" s="2945" t="s">
        <v>3695</v>
      </c>
      <c r="E773" s="2945">
        <v>68.209999999999994</v>
      </c>
      <c r="F773" s="2952" t="s">
        <v>3132</v>
      </c>
    </row>
    <row r="774" spans="1:6" ht="14.25">
      <c r="A774" s="2945">
        <v>772</v>
      </c>
      <c r="B774" s="2947" t="s">
        <v>3069</v>
      </c>
      <c r="C774" s="2945" t="s">
        <v>70</v>
      </c>
      <c r="D774" s="2945" t="s">
        <v>3696</v>
      </c>
      <c r="E774" s="2945">
        <v>68.209999999999994</v>
      </c>
      <c r="F774" s="2952" t="s">
        <v>3132</v>
      </c>
    </row>
    <row r="775" spans="1:6" ht="14.25">
      <c r="A775" s="2945">
        <v>773</v>
      </c>
      <c r="B775" s="2947" t="s">
        <v>3069</v>
      </c>
      <c r="C775" s="2945" t="s">
        <v>70</v>
      </c>
      <c r="D775" s="2945" t="s">
        <v>3697</v>
      </c>
      <c r="E775" s="2945">
        <v>68.209999999999994</v>
      </c>
      <c r="F775" s="2952" t="s">
        <v>3132</v>
      </c>
    </row>
    <row r="776" spans="1:6" ht="14.25">
      <c r="A776" s="2945">
        <v>774</v>
      </c>
      <c r="B776" s="2947" t="s">
        <v>3069</v>
      </c>
      <c r="C776" s="2945" t="s">
        <v>70</v>
      </c>
      <c r="D776" s="2945" t="s">
        <v>3698</v>
      </c>
      <c r="E776" s="2945">
        <v>68.209999999999994</v>
      </c>
      <c r="F776" s="2952" t="s">
        <v>3132</v>
      </c>
    </row>
    <row r="777" spans="1:6" ht="14.25">
      <c r="A777" s="2945">
        <v>775</v>
      </c>
      <c r="B777" s="2947" t="s">
        <v>3069</v>
      </c>
      <c r="C777" s="2945" t="s">
        <v>70</v>
      </c>
      <c r="D777" s="2945" t="s">
        <v>3699</v>
      </c>
      <c r="E777" s="2945">
        <v>68.209999999999994</v>
      </c>
      <c r="F777" s="2952" t="s">
        <v>3132</v>
      </c>
    </row>
    <row r="778" spans="1:6" ht="14.25">
      <c r="A778" s="2945">
        <v>776</v>
      </c>
      <c r="B778" s="2947" t="s">
        <v>3069</v>
      </c>
      <c r="C778" s="2945" t="s">
        <v>70</v>
      </c>
      <c r="D778" s="2945" t="s">
        <v>3700</v>
      </c>
      <c r="E778" s="2945">
        <v>58.46</v>
      </c>
      <c r="F778" s="2952" t="s">
        <v>3132</v>
      </c>
    </row>
    <row r="779" spans="1:6" ht="14.25">
      <c r="A779" s="2945">
        <v>777</v>
      </c>
      <c r="B779" s="2947" t="s">
        <v>3069</v>
      </c>
      <c r="C779" s="2945" t="s">
        <v>70</v>
      </c>
      <c r="D779" s="2945" t="s">
        <v>3701</v>
      </c>
      <c r="E779" s="2945">
        <v>58.46</v>
      </c>
      <c r="F779" s="2952" t="s">
        <v>3132</v>
      </c>
    </row>
    <row r="780" spans="1:6" ht="14.25">
      <c r="A780" s="2945">
        <v>778</v>
      </c>
      <c r="B780" s="2947" t="s">
        <v>3069</v>
      </c>
      <c r="C780" s="2945" t="s">
        <v>70</v>
      </c>
      <c r="D780" s="2945" t="s">
        <v>3702</v>
      </c>
      <c r="E780" s="2945">
        <v>68.209999999999994</v>
      </c>
      <c r="F780" s="2952" t="s">
        <v>3132</v>
      </c>
    </row>
    <row r="781" spans="1:6" ht="14.25">
      <c r="A781" s="2945">
        <v>779</v>
      </c>
      <c r="B781" s="2947" t="s">
        <v>3069</v>
      </c>
      <c r="C781" s="2945" t="s">
        <v>70</v>
      </c>
      <c r="D781" s="2945" t="s">
        <v>3703</v>
      </c>
      <c r="E781" s="2945">
        <v>68.209999999999994</v>
      </c>
      <c r="F781" s="2952" t="s">
        <v>3132</v>
      </c>
    </row>
    <row r="782" spans="1:6" ht="14.25">
      <c r="A782" s="2945">
        <v>780</v>
      </c>
      <c r="B782" s="2947" t="s">
        <v>3069</v>
      </c>
      <c r="C782" s="2945" t="s">
        <v>70</v>
      </c>
      <c r="D782" s="2945" t="s">
        <v>3704</v>
      </c>
      <c r="E782" s="2945">
        <v>52.62</v>
      </c>
      <c r="F782" s="2952" t="s">
        <v>3132</v>
      </c>
    </row>
    <row r="783" spans="1:6" ht="14.25">
      <c r="A783" s="2945">
        <v>781</v>
      </c>
      <c r="B783" s="2947" t="s">
        <v>3069</v>
      </c>
      <c r="C783" s="2945" t="s">
        <v>70</v>
      </c>
      <c r="D783" s="2945" t="s">
        <v>3705</v>
      </c>
      <c r="E783" s="2945">
        <v>68.209999999999994</v>
      </c>
      <c r="F783" s="2952" t="s">
        <v>3132</v>
      </c>
    </row>
    <row r="784" spans="1:6" ht="14.25">
      <c r="A784" s="2945">
        <v>782</v>
      </c>
      <c r="B784" s="2947" t="s">
        <v>3069</v>
      </c>
      <c r="C784" s="2945" t="s">
        <v>70</v>
      </c>
      <c r="D784" s="2945" t="s">
        <v>3706</v>
      </c>
      <c r="E784" s="2945">
        <v>68.209999999999994</v>
      </c>
      <c r="F784" s="2952" t="s">
        <v>3132</v>
      </c>
    </row>
    <row r="785" spans="1:6" ht="14.25">
      <c r="A785" s="2945">
        <v>783</v>
      </c>
      <c r="B785" s="2947" t="s">
        <v>3069</v>
      </c>
      <c r="C785" s="2945" t="s">
        <v>70</v>
      </c>
      <c r="D785" s="2945" t="s">
        <v>3707</v>
      </c>
      <c r="E785" s="2945">
        <v>68.209999999999994</v>
      </c>
      <c r="F785" s="2952" t="s">
        <v>3132</v>
      </c>
    </row>
    <row r="786" spans="1:6" ht="14.25">
      <c r="A786" s="2945">
        <v>784</v>
      </c>
      <c r="B786" s="2947" t="s">
        <v>3069</v>
      </c>
      <c r="C786" s="2945" t="s">
        <v>70</v>
      </c>
      <c r="D786" s="2945" t="s">
        <v>3708</v>
      </c>
      <c r="E786" s="2945">
        <v>116.92</v>
      </c>
      <c r="F786" s="2952" t="s">
        <v>3132</v>
      </c>
    </row>
    <row r="787" spans="1:6" ht="14.25">
      <c r="A787" s="2945">
        <v>785</v>
      </c>
      <c r="B787" s="2947" t="s">
        <v>3069</v>
      </c>
      <c r="C787" s="2945" t="s">
        <v>70</v>
      </c>
      <c r="D787" s="2945" t="s">
        <v>3709</v>
      </c>
      <c r="E787" s="2945">
        <v>136.41</v>
      </c>
      <c r="F787" s="2952" t="s">
        <v>3132</v>
      </c>
    </row>
    <row r="788" spans="1:6" ht="14.25">
      <c r="A788" s="2945">
        <v>786</v>
      </c>
      <c r="B788" s="2947" t="s">
        <v>3069</v>
      </c>
      <c r="C788" s="2945" t="s">
        <v>70</v>
      </c>
      <c r="D788" s="2945" t="s">
        <v>3710</v>
      </c>
      <c r="E788" s="2945">
        <v>136.41</v>
      </c>
      <c r="F788" s="2952" t="s">
        <v>3132</v>
      </c>
    </row>
    <row r="789" spans="1:6" ht="14.25">
      <c r="A789" s="2945">
        <v>787</v>
      </c>
      <c r="B789" s="2947" t="s">
        <v>3069</v>
      </c>
      <c r="C789" s="2945" t="s">
        <v>70</v>
      </c>
      <c r="D789" s="2945" t="s">
        <v>3711</v>
      </c>
      <c r="E789" s="2945">
        <v>136.41</v>
      </c>
      <c r="F789" s="2952" t="s">
        <v>3132</v>
      </c>
    </row>
    <row r="790" spans="1:6" ht="14.25">
      <c r="A790" s="2945">
        <v>788</v>
      </c>
      <c r="B790" s="2947" t="s">
        <v>3069</v>
      </c>
      <c r="C790" s="2945" t="s">
        <v>70</v>
      </c>
      <c r="D790" s="2945" t="s">
        <v>3712</v>
      </c>
      <c r="E790" s="2945">
        <v>68.209999999999994</v>
      </c>
      <c r="F790" s="2952" t="s">
        <v>3132</v>
      </c>
    </row>
    <row r="791" spans="1:6" ht="14.25">
      <c r="A791" s="2945">
        <v>789</v>
      </c>
      <c r="B791" s="2947" t="s">
        <v>3069</v>
      </c>
      <c r="C791" s="2945" t="s">
        <v>70</v>
      </c>
      <c r="D791" s="2945" t="s">
        <v>3713</v>
      </c>
      <c r="E791" s="2945">
        <v>68.209999999999994</v>
      </c>
      <c r="F791" s="2952" t="s">
        <v>3132</v>
      </c>
    </row>
    <row r="792" spans="1:6" ht="14.25">
      <c r="A792" s="2945">
        <v>790</v>
      </c>
      <c r="B792" s="2947" t="s">
        <v>3069</v>
      </c>
      <c r="C792" s="2945" t="s">
        <v>70</v>
      </c>
      <c r="D792" s="2945" t="s">
        <v>3714</v>
      </c>
      <c r="E792" s="2945">
        <v>68.209999999999994</v>
      </c>
      <c r="F792" s="2952" t="s">
        <v>3132</v>
      </c>
    </row>
    <row r="793" spans="1:6" ht="14.25">
      <c r="A793" s="2945">
        <v>791</v>
      </c>
      <c r="B793" s="2947" t="s">
        <v>3069</v>
      </c>
      <c r="C793" s="2945" t="s">
        <v>70</v>
      </c>
      <c r="D793" s="2945" t="s">
        <v>3715</v>
      </c>
      <c r="E793" s="2945">
        <v>68.209999999999994</v>
      </c>
      <c r="F793" s="2952" t="s">
        <v>3132</v>
      </c>
    </row>
    <row r="794" spans="1:6" ht="14.25">
      <c r="A794" s="2945">
        <v>792</v>
      </c>
      <c r="B794" s="2947" t="s">
        <v>3069</v>
      </c>
      <c r="C794" s="2945" t="s">
        <v>70</v>
      </c>
      <c r="D794" s="2945" t="s">
        <v>3716</v>
      </c>
      <c r="E794" s="2945">
        <v>68.209999999999994</v>
      </c>
      <c r="F794" s="2952" t="s">
        <v>3132</v>
      </c>
    </row>
    <row r="795" spans="1:6" ht="14.25">
      <c r="A795" s="2945">
        <v>793</v>
      </c>
      <c r="B795" s="2947" t="s">
        <v>3069</v>
      </c>
      <c r="C795" s="2945" t="s">
        <v>70</v>
      </c>
      <c r="D795" s="2945" t="s">
        <v>3717</v>
      </c>
      <c r="E795" s="2945">
        <v>68.209999999999994</v>
      </c>
      <c r="F795" s="2952" t="s">
        <v>3132</v>
      </c>
    </row>
    <row r="796" spans="1:6" ht="14.25">
      <c r="A796" s="2945">
        <v>794</v>
      </c>
      <c r="B796" s="2947" t="s">
        <v>3069</v>
      </c>
      <c r="C796" s="2945" t="s">
        <v>70</v>
      </c>
      <c r="D796" s="2945" t="s">
        <v>3718</v>
      </c>
      <c r="E796" s="2945">
        <v>137.63</v>
      </c>
      <c r="F796" s="2952" t="s">
        <v>3132</v>
      </c>
    </row>
    <row r="797" spans="1:6" ht="14.25">
      <c r="A797" s="2945">
        <v>795</v>
      </c>
      <c r="B797" s="2947" t="s">
        <v>3069</v>
      </c>
      <c r="C797" s="2945" t="s">
        <v>70</v>
      </c>
      <c r="D797" s="2945" t="s">
        <v>3719</v>
      </c>
      <c r="E797" s="2945">
        <v>115.71</v>
      </c>
      <c r="F797" s="2952" t="s">
        <v>3132</v>
      </c>
    </row>
    <row r="798" spans="1:6" ht="14.25">
      <c r="A798" s="2945">
        <v>796</v>
      </c>
      <c r="B798" s="2947" t="s">
        <v>3069</v>
      </c>
      <c r="C798" s="2945" t="s">
        <v>70</v>
      </c>
      <c r="D798" s="2945" t="s">
        <v>3720</v>
      </c>
      <c r="E798" s="2945">
        <v>59.68</v>
      </c>
      <c r="F798" s="2952" t="s">
        <v>3132</v>
      </c>
    </row>
    <row r="799" spans="1:6" ht="14.25">
      <c r="A799" s="2945">
        <v>797</v>
      </c>
      <c r="B799" s="2947" t="s">
        <v>3069</v>
      </c>
      <c r="C799" s="2945" t="s">
        <v>70</v>
      </c>
      <c r="D799" s="2945" t="s">
        <v>3721</v>
      </c>
      <c r="E799" s="2945">
        <v>35.729999999999997</v>
      </c>
      <c r="F799" s="2952" t="s">
        <v>3132</v>
      </c>
    </row>
    <row r="800" spans="1:6" ht="14.25">
      <c r="A800" s="2945">
        <v>798</v>
      </c>
      <c r="B800" s="2947" t="s">
        <v>3069</v>
      </c>
      <c r="C800" s="2945" t="s">
        <v>70</v>
      </c>
      <c r="D800" s="2945" t="s">
        <v>3722</v>
      </c>
      <c r="E800" s="2945">
        <v>35.729999999999997</v>
      </c>
      <c r="F800" s="2952" t="s">
        <v>3132</v>
      </c>
    </row>
    <row r="801" spans="1:6" ht="14.25">
      <c r="A801" s="2945">
        <v>799</v>
      </c>
      <c r="B801" s="2947" t="s">
        <v>3069</v>
      </c>
      <c r="C801" s="2945" t="s">
        <v>70</v>
      </c>
      <c r="D801" s="2945" t="s">
        <v>3723</v>
      </c>
      <c r="E801" s="2945">
        <v>136.41</v>
      </c>
      <c r="F801" s="2952" t="s">
        <v>3132</v>
      </c>
    </row>
    <row r="802" spans="1:6" ht="14.25">
      <c r="A802" s="2945">
        <v>800</v>
      </c>
      <c r="B802" s="2947" t="s">
        <v>3069</v>
      </c>
      <c r="C802" s="2945" t="s">
        <v>70</v>
      </c>
      <c r="D802" s="2945" t="s">
        <v>3724</v>
      </c>
      <c r="E802" s="2945">
        <v>136.41</v>
      </c>
      <c r="F802" s="2952" t="s">
        <v>3132</v>
      </c>
    </row>
    <row r="803" spans="1:6" ht="14.25">
      <c r="A803" s="2945">
        <v>801</v>
      </c>
      <c r="B803" s="2947" t="s">
        <v>3069</v>
      </c>
      <c r="C803" s="2945" t="s">
        <v>70</v>
      </c>
      <c r="D803" s="2945" t="s">
        <v>3725</v>
      </c>
      <c r="E803" s="2945">
        <v>136.41</v>
      </c>
      <c r="F803" s="2952" t="s">
        <v>3132</v>
      </c>
    </row>
    <row r="804" spans="1:6" ht="14.25">
      <c r="A804" s="2945">
        <v>802</v>
      </c>
      <c r="B804" s="2947" t="s">
        <v>3069</v>
      </c>
      <c r="C804" s="2945" t="s">
        <v>70</v>
      </c>
      <c r="D804" s="2945" t="s">
        <v>3726</v>
      </c>
      <c r="E804" s="2945">
        <v>136.41</v>
      </c>
      <c r="F804" s="2952" t="s">
        <v>3132</v>
      </c>
    </row>
    <row r="805" spans="1:6" ht="14.25">
      <c r="A805" s="2945">
        <v>803</v>
      </c>
      <c r="B805" s="2947" t="s">
        <v>3069</v>
      </c>
      <c r="C805" s="2945" t="s">
        <v>70</v>
      </c>
      <c r="D805" s="2945" t="s">
        <v>3727</v>
      </c>
      <c r="E805" s="2945">
        <v>136.41</v>
      </c>
      <c r="F805" s="2952" t="s">
        <v>3132</v>
      </c>
    </row>
    <row r="806" spans="1:6" ht="14.25">
      <c r="A806" s="2945">
        <v>804</v>
      </c>
      <c r="B806" s="2947" t="s">
        <v>3069</v>
      </c>
      <c r="C806" s="2945" t="s">
        <v>70</v>
      </c>
      <c r="D806" s="2945" t="s">
        <v>3728</v>
      </c>
      <c r="E806" s="2945">
        <v>136.41</v>
      </c>
      <c r="F806" s="2952" t="s">
        <v>3132</v>
      </c>
    </row>
    <row r="807" spans="1:6" ht="14.25">
      <c r="A807" s="2945">
        <v>805</v>
      </c>
      <c r="B807" s="2947" t="s">
        <v>3069</v>
      </c>
      <c r="C807" s="2945" t="s">
        <v>70</v>
      </c>
      <c r="D807" s="2945" t="s">
        <v>3729</v>
      </c>
      <c r="E807" s="2945">
        <v>118.26</v>
      </c>
      <c r="F807" s="2952" t="s">
        <v>3132</v>
      </c>
    </row>
    <row r="808" spans="1:6" ht="14.25">
      <c r="A808" s="2945">
        <v>806</v>
      </c>
      <c r="B808" s="2947" t="s">
        <v>3069</v>
      </c>
      <c r="C808" s="2945" t="s">
        <v>70</v>
      </c>
      <c r="D808" s="2945" t="s">
        <v>3730</v>
      </c>
      <c r="E808" s="2945">
        <v>52.62</v>
      </c>
      <c r="F808" s="2952" t="s">
        <v>3132</v>
      </c>
    </row>
    <row r="809" spans="1:6" ht="14.25">
      <c r="A809" s="2945">
        <v>807</v>
      </c>
      <c r="B809" s="2947" t="s">
        <v>3069</v>
      </c>
      <c r="C809" s="2945" t="s">
        <v>70</v>
      </c>
      <c r="D809" s="2945" t="s">
        <v>3731</v>
      </c>
      <c r="E809" s="2945">
        <v>68.209999999999994</v>
      </c>
      <c r="F809" s="2952" t="s">
        <v>3132</v>
      </c>
    </row>
    <row r="810" spans="1:6" ht="14.25">
      <c r="A810" s="2945">
        <v>808</v>
      </c>
      <c r="B810" s="2947" t="s">
        <v>3069</v>
      </c>
      <c r="C810" s="2945" t="s">
        <v>70</v>
      </c>
      <c r="D810" s="2945" t="s">
        <v>3732</v>
      </c>
      <c r="E810" s="2945">
        <v>68.209999999999994</v>
      </c>
      <c r="F810" s="2952" t="s">
        <v>3132</v>
      </c>
    </row>
    <row r="811" spans="1:6">
      <c r="E811" s="2961">
        <f>SUM(E150:E810)</f>
        <v>49978.879999999779</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 sqref="O2"/>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1640</v>
      </c>
      <c r="B2" s="2990" t="s">
        <v>1641</v>
      </c>
      <c r="C2" s="2990" t="s">
        <v>1642</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91"/>
      <c r="B3" s="2991"/>
      <c r="C3" s="2991"/>
      <c r="D3" s="1047" t="s">
        <v>1637</v>
      </c>
      <c r="E3" s="1047" t="s">
        <v>1643</v>
      </c>
      <c r="F3" s="1047" t="s">
        <v>1637</v>
      </c>
      <c r="G3" s="1047" t="s">
        <v>1638</v>
      </c>
      <c r="H3" s="1047" t="s">
        <v>1637</v>
      </c>
      <c r="I3" s="1047" t="s">
        <v>1638</v>
      </c>
    </row>
    <row r="4" spans="1:9" ht="30">
      <c r="A4" s="1976" t="str">
        <f>项目基本情况!S2</f>
        <v>北京市海淀区万柳华府北街9号院房地产</v>
      </c>
      <c r="B4" s="1047">
        <f>项目基本情况!C17</f>
        <v>44831.789999999994</v>
      </c>
      <c r="C4" s="1047">
        <f>项目基本情况!C18</f>
        <v>12068.97</v>
      </c>
      <c r="D4" s="1047">
        <f ca="1">结果表!D118</f>
        <v>711709</v>
      </c>
      <c r="E4" s="1047">
        <f ca="1">结果表!E118</f>
        <v>158751</v>
      </c>
      <c r="F4" s="1047">
        <f ca="1">结果表!F118</f>
        <v>97200</v>
      </c>
      <c r="G4" s="1047">
        <f ca="1">结果表!G118</f>
        <v>21681</v>
      </c>
      <c r="H4" s="1047">
        <f ca="1">结果表!H118</f>
        <v>808909</v>
      </c>
      <c r="I4" s="1047">
        <f ca="1">结果表!I118</f>
        <v>180432</v>
      </c>
    </row>
    <row r="5" spans="1:9" ht="30" customHeight="1">
      <c r="A5" s="2991" t="s">
        <v>1639</v>
      </c>
      <c r="B5" s="2991"/>
      <c r="C5" s="2991"/>
      <c r="D5" s="2992" t="str">
        <f ca="1">结果表!D119</f>
        <v>柒拾壹亿壹仟柒佰零玖万元整</v>
      </c>
      <c r="E5" s="2992"/>
      <c r="F5" s="2992" t="str">
        <f ca="1">结果表!F119</f>
        <v>玖亿柒仟贰佰万元整</v>
      </c>
      <c r="G5" s="2992"/>
      <c r="H5" s="2992" t="str">
        <f ca="1">结果表!H119</f>
        <v>捌拾亿捌仟玖佰零玖万元整</v>
      </c>
      <c r="I5" s="2992"/>
    </row>
    <row r="6" spans="1:9" ht="15.75">
      <c r="A6" s="2993" t="str">
        <f>结果表!A120</f>
        <v>估价师知悉的除抵押担保权以外的法定优先受偿款</v>
      </c>
      <c r="B6" s="2993"/>
      <c r="C6" s="2993"/>
      <c r="D6" s="2993">
        <f>结果表!D120</f>
        <v>0</v>
      </c>
      <c r="E6" s="2993"/>
      <c r="F6" s="2993"/>
      <c r="G6" s="2993"/>
      <c r="H6" s="2993"/>
      <c r="I6" s="2993"/>
    </row>
    <row r="7" spans="1:9" ht="15">
      <c r="A7" s="2991" t="s">
        <v>1639</v>
      </c>
      <c r="B7" s="2991"/>
      <c r="C7" s="2991"/>
      <c r="D7" s="2994" t="str">
        <f>结果表!D121</f>
        <v>零元整</v>
      </c>
      <c r="E7" s="2995"/>
      <c r="F7" s="2995"/>
      <c r="G7" s="2995"/>
      <c r="H7" s="2995"/>
      <c r="I7" s="2996"/>
    </row>
    <row r="8" spans="1:9" ht="15.75">
      <c r="A8" s="2993" t="str">
        <f>结果表!A122</f>
        <v>房地产抵押价值</v>
      </c>
      <c r="B8" s="2993"/>
      <c r="C8" s="2993"/>
      <c r="D8" s="2993">
        <f ca="1">结果表!D122</f>
        <v>808909</v>
      </c>
      <c r="E8" s="2993"/>
      <c r="F8" s="2993"/>
      <c r="G8" s="2993"/>
      <c r="H8" s="2993"/>
      <c r="I8" s="2993"/>
    </row>
    <row r="9" spans="1:9" ht="15">
      <c r="A9" s="2991" t="s">
        <v>1639</v>
      </c>
      <c r="B9" s="2991"/>
      <c r="C9" s="2991"/>
      <c r="D9" s="2992" t="str">
        <f ca="1">结果表!D123</f>
        <v>捌拾亿捌仟玖佰零玖万元整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1639</v>
      </c>
      <c r="B11" s="2991"/>
      <c r="C11" s="2991"/>
      <c r="D11" s="2992" t="e">
        <f>结果表!D125</f>
        <v>#VALUE!</v>
      </c>
      <c r="E11" s="2992"/>
      <c r="F11" s="2992"/>
      <c r="G11" s="2992"/>
      <c r="H11" s="2992"/>
      <c r="I11" s="2992"/>
    </row>
    <row r="12" spans="1:9" ht="15.75">
      <c r="A12" s="2993" t="str">
        <f>结果表!A126</f>
        <v>抵押净值</v>
      </c>
      <c r="B12" s="2993"/>
      <c r="C12" s="2993"/>
      <c r="D12" s="2993">
        <f ca="1">结果表!D126</f>
        <v>771142</v>
      </c>
      <c r="E12" s="2993"/>
      <c r="F12" s="2993"/>
      <c r="G12" s="2993"/>
      <c r="H12" s="2993"/>
      <c r="I12" s="2993"/>
    </row>
    <row r="13" spans="1:9" ht="15.75" thickBot="1">
      <c r="A13" s="2997" t="s">
        <v>1639</v>
      </c>
      <c r="B13" s="2997"/>
      <c r="C13" s="2997"/>
      <c r="D13" s="2998" t="str">
        <f ca="1">结果表!D127</f>
        <v>柒拾柒亿壹仟壹佰肆拾贰万元整</v>
      </c>
      <c r="E13" s="2998"/>
      <c r="F13" s="2998"/>
      <c r="G13" s="2998"/>
      <c r="H13" s="2998"/>
      <c r="I13" s="2998"/>
    </row>
    <row r="14" spans="1:9" ht="15" thickTop="1">
      <c r="A14" s="2999" t="s">
        <v>1644</v>
      </c>
      <c r="B14" s="2999"/>
      <c r="C14" s="2999"/>
      <c r="D14" s="2999"/>
      <c r="E14" s="2999"/>
      <c r="F14" s="2999"/>
      <c r="G14" s="2999"/>
      <c r="H14" s="2999"/>
      <c r="I14" s="2999"/>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0" t="s">
        <v>1661</v>
      </c>
      <c r="B1" s="3000"/>
      <c r="C1" s="3000"/>
      <c r="D1" s="3000"/>
    </row>
    <row r="2" spans="1:4" ht="18">
      <c r="A2" s="3001" t="s">
        <v>1645</v>
      </c>
      <c r="B2" s="3001"/>
      <c r="C2" s="3001"/>
      <c r="D2" s="3001"/>
    </row>
    <row r="3" spans="1:4" ht="18.75">
      <c r="A3" s="1980" t="s">
        <v>1646</v>
      </c>
      <c r="B3" s="1980" t="s">
        <v>1647</v>
      </c>
      <c r="C3" s="1980" t="s">
        <v>1648</v>
      </c>
      <c r="D3" s="1980" t="s">
        <v>1649</v>
      </c>
    </row>
    <row r="4" spans="1:4" ht="56.25" customHeight="1">
      <c r="A4" s="1981" t="str">
        <f>项目基本情况!B4</f>
        <v>吴薇</v>
      </c>
      <c r="B4" s="1982">
        <f ca="1">项目基本情况!C4</f>
        <v>1419970001</v>
      </c>
      <c r="C4" s="1983"/>
      <c r="D4" s="1984" t="s">
        <v>1650</v>
      </c>
    </row>
    <row r="5" spans="1:4" ht="56.25" customHeight="1">
      <c r="A5" s="1981" t="str">
        <f>项目基本情况!D4</f>
        <v>郑燚</v>
      </c>
      <c r="B5" s="1982">
        <f ca="1">项目基本情况!E4</f>
        <v>1120070131</v>
      </c>
      <c r="C5" s="1985"/>
      <c r="D5" s="1984" t="s">
        <v>1650</v>
      </c>
    </row>
    <row r="6" spans="1:4" ht="18">
      <c r="A6" s="3001" t="s">
        <v>1651</v>
      </c>
      <c r="B6" s="3001"/>
      <c r="C6" s="3001"/>
      <c r="D6" s="3001"/>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02" t="s">
        <v>1654</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6" t="s">
        <v>1655</v>
      </c>
      <c r="B16" s="3006"/>
      <c r="C16" s="3006"/>
      <c r="D16" s="3006"/>
    </row>
    <row r="17" spans="1:4" ht="144" customHeight="1">
      <c r="A17" s="3006" t="s">
        <v>1656</v>
      </c>
      <c r="B17" s="3006"/>
      <c r="C17" s="3006"/>
      <c r="D17" s="3006"/>
    </row>
    <row r="18" spans="1:4" ht="15.75" customHeight="1">
      <c r="A18" s="3003" t="str">
        <f>IF(项目基本情况!B8="抵押",结果表!K120,"——")</f>
        <v>故，本次评估不存在估价师知悉的除抵押担保权以外的法定优先受偿款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1657</v>
      </c>
      <c r="B22" s="3008"/>
      <c r="C22" s="3008"/>
      <c r="D22" s="3008"/>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14" t="s">
        <v>1668</v>
      </c>
      <c r="B15" s="3009" t="s">
        <v>136</v>
      </c>
      <c r="C15" s="3010"/>
    </row>
    <row r="16" spans="1:7" ht="13.5">
      <c r="A16" s="3015"/>
      <c r="B16" s="3009" t="s">
        <v>69</v>
      </c>
      <c r="C16" s="3010"/>
    </row>
    <row r="17" spans="1:3" ht="13.5">
      <c r="A17" s="3015"/>
      <c r="B17" s="3012" t="s">
        <v>1669</v>
      </c>
      <c r="C17" s="2003" t="s">
        <v>1668</v>
      </c>
    </row>
    <row r="18" spans="1:3" ht="13.5">
      <c r="A18" s="3015"/>
      <c r="B18" s="3012"/>
      <c r="C18" s="2003" t="s">
        <v>1670</v>
      </c>
    </row>
    <row r="19" spans="1:3" ht="13.5">
      <c r="A19" s="3015"/>
      <c r="B19" s="3012"/>
      <c r="C19" s="2003" t="s">
        <v>1671</v>
      </c>
    </row>
    <row r="20" spans="1:3" ht="13.5">
      <c r="A20" s="3016"/>
      <c r="B20" s="3011" t="s">
        <v>1672</v>
      </c>
      <c r="C20" s="3010"/>
    </row>
    <row r="21" spans="1:3" ht="13.5">
      <c r="A21" s="2004" t="s">
        <v>1673</v>
      </c>
      <c r="B21" s="2005"/>
      <c r="C21" s="2006"/>
    </row>
    <row r="22" spans="1:3" ht="13.5">
      <c r="A22" s="3013" t="s">
        <v>1674</v>
      </c>
      <c r="B22" s="3011" t="s">
        <v>1675</v>
      </c>
      <c r="C22" s="3010"/>
    </row>
    <row r="23" spans="1:3" ht="13.5">
      <c r="A23" s="3013"/>
      <c r="B23" s="3011" t="s">
        <v>1676</v>
      </c>
      <c r="C23" s="3010"/>
    </row>
    <row r="24" spans="1:3" ht="13.5">
      <c r="A24" s="3013"/>
      <c r="B24" s="3011" t="s">
        <v>1677</v>
      </c>
      <c r="C24" s="3010"/>
    </row>
    <row r="25" spans="1:3" ht="13.5">
      <c r="A25" s="3013"/>
      <c r="B25" s="3012" t="s">
        <v>1678</v>
      </c>
      <c r="C25" s="2003" t="s">
        <v>1679</v>
      </c>
    </row>
    <row r="26" spans="1:3" ht="13.5">
      <c r="A26" s="3013"/>
      <c r="B26" s="3012"/>
      <c r="C26" s="2003" t="s">
        <v>1680</v>
      </c>
    </row>
    <row r="27" spans="1:3" ht="13.5">
      <c r="A27" s="3013"/>
      <c r="B27" s="3012"/>
      <c r="C27" s="2003" t="s">
        <v>1681</v>
      </c>
    </row>
    <row r="28" spans="1:3" ht="13.5">
      <c r="A28" s="3013"/>
      <c r="B28" s="3012"/>
      <c r="C28" s="2003" t="s">
        <v>1682</v>
      </c>
    </row>
    <row r="29" spans="1:3" ht="13.5">
      <c r="A29" s="3013"/>
      <c r="B29" s="3012"/>
      <c r="C29" s="2003" t="s">
        <v>1683</v>
      </c>
    </row>
    <row r="30" spans="1:3" ht="13.5">
      <c r="A30" s="3013"/>
      <c r="B30" s="3012"/>
      <c r="C30" s="2003" t="s">
        <v>1684</v>
      </c>
    </row>
    <row r="31" spans="1:3" ht="13.5">
      <c r="A31" s="3013"/>
      <c r="B31" s="3012"/>
      <c r="C31" s="2003" t="s">
        <v>1685</v>
      </c>
    </row>
    <row r="32" spans="1:3" ht="13.5">
      <c r="A32" s="3013"/>
      <c r="B32" s="3012"/>
      <c r="C32" s="2003" t="s">
        <v>1686</v>
      </c>
    </row>
    <row r="33" spans="1:3" ht="13.5">
      <c r="A33" s="3013"/>
      <c r="B33" s="3012"/>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43429</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3034</v>
      </c>
      <c r="B12" s="1025">
        <v>1120110054</v>
      </c>
      <c r="C12" s="2940">
        <v>43937</v>
      </c>
      <c r="D12" s="1705" t="s">
        <v>3034</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0">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17" t="s">
        <v>846</v>
      </c>
      <c r="B25" s="3017"/>
      <c r="C25" s="3017"/>
      <c r="D25" s="3017"/>
      <c r="E25" s="3017"/>
      <c r="F25" s="3017"/>
      <c r="G25" s="3017"/>
    </row>
    <row r="26" spans="1:7" s="1028" customFormat="1" ht="24" customHeight="1">
      <c r="A26" s="3018" t="s">
        <v>847</v>
      </c>
      <c r="B26" s="3018"/>
      <c r="C26" s="3019"/>
      <c r="D26" s="3020" t="s">
        <v>848</v>
      </c>
      <c r="E26" s="3018"/>
      <c r="F26" s="3018"/>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抵押物清单</vt:lpstr>
      <vt:lpstr>Sheet1</vt:lpstr>
      <vt:lpstr>抵押物清单!Print_Area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2018-11-23T08:09:58Z</cp:lastPrinted>
  <dcterms:created xsi:type="dcterms:W3CDTF">2015-07-13T07:17:23Z</dcterms:created>
  <dcterms:modified xsi:type="dcterms:W3CDTF">2018-11-25T10:20:55Z</dcterms:modified>
</cp:coreProperties>
</file>