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询价\腾飞大厦7.18\"/>
    </mc:Choice>
  </mc:AlternateContent>
  <bookViews>
    <workbookView xWindow="480" yWindow="216" windowWidth="12120" windowHeight="7620" tabRatio="899" firstSheet="7"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Sheet1" sheetId="77"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D4" i="73" l="1"/>
  <c r="E20" i="43"/>
  <c r="N17" i="43"/>
  <c r="G20" i="43"/>
  <c r="C20" i="43"/>
  <c r="C29" i="43"/>
  <c r="E29" i="43"/>
  <c r="C33" i="43"/>
  <c r="E33" i="43"/>
  <c r="C34" i="43"/>
  <c r="E34" i="43"/>
  <c r="C35" i="43"/>
  <c r="E35" i="43"/>
  <c r="C36" i="43"/>
  <c r="E36" i="43"/>
  <c r="C37" i="43"/>
  <c r="E37" i="43"/>
  <c r="C38" i="43"/>
  <c r="E38" i="43"/>
  <c r="C39" i="43"/>
  <c r="E39" i="43"/>
  <c r="C26" i="43"/>
  <c r="B2" i="43"/>
  <c r="C6" i="68"/>
  <c r="C7" i="68"/>
  <c r="D9" i="68"/>
  <c r="C9" i="68"/>
  <c r="D10" i="68"/>
  <c r="C10" i="68"/>
  <c r="C8" i="68"/>
  <c r="C5" i="68"/>
  <c r="C20" i="68"/>
  <c r="D5" i="73"/>
  <c r="K1"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D27" i="9"/>
  <c r="R12" i="77"/>
  <c r="Q12" i="77"/>
  <c r="Q11" i="77"/>
  <c r="Q10" i="77"/>
  <c r="G19" i="6"/>
  <c r="D37" i="43"/>
  <c r="BC10" i="3"/>
  <c r="E8" i="6"/>
  <c r="F27" i="6"/>
  <c r="F31" i="6"/>
  <c r="BR18" i="3"/>
  <c r="BL18" i="3"/>
  <c r="BC18" i="3"/>
  <c r="BA18" i="3"/>
  <c r="AZ18" i="3"/>
  <c r="BR19" i="3"/>
  <c r="BL19" i="3"/>
  <c r="BC19" i="3"/>
  <c r="BA19" i="3"/>
  <c r="AZ19" i="3"/>
  <c r="AZ5" i="3"/>
  <c r="AC18" i="3"/>
  <c r="H18" i="3"/>
  <c r="G18" i="3"/>
  <c r="AC19" i="3"/>
  <c r="H19" i="3"/>
  <c r="G19" i="3"/>
  <c r="G5" i="3"/>
  <c r="B3" i="3"/>
  <c r="AY6" i="3"/>
  <c r="D3" i="6"/>
  <c r="E3" i="6"/>
  <c r="E19" i="6"/>
  <c r="D19" i="6"/>
  <c r="D20" i="6"/>
  <c r="D21" i="6"/>
  <c r="D22" i="6"/>
  <c r="D23" i="6"/>
  <c r="D24" i="6"/>
  <c r="D25" i="6"/>
  <c r="D26" i="6"/>
  <c r="D27" i="6"/>
  <c r="BR5" i="3"/>
  <c r="G28" i="6"/>
  <c r="E28" i="6"/>
  <c r="D28" i="6"/>
  <c r="D29" i="6"/>
  <c r="D30" i="6"/>
  <c r="D31" i="6"/>
  <c r="I6" i="6"/>
  <c r="G3" i="43"/>
  <c r="E22" i="43"/>
  <c r="G22" i="43"/>
  <c r="F22" i="43"/>
  <c r="H22" i="43"/>
  <c r="D22" i="43"/>
  <c r="C21" i="43"/>
  <c r="K6" i="1"/>
  <c r="BA5" i="3"/>
  <c r="E27" i="6"/>
  <c r="K19" i="6"/>
  <c r="S6" i="1"/>
  <c r="M6" i="1"/>
  <c r="T6" i="1"/>
  <c r="K7" i="1"/>
  <c r="M7" i="1"/>
  <c r="K8" i="1"/>
  <c r="M8" i="1"/>
  <c r="K9" i="1"/>
  <c r="M9" i="1"/>
  <c r="K10" i="1"/>
  <c r="M10" i="1"/>
  <c r="K11" i="1"/>
  <c r="M11" i="1"/>
  <c r="K12" i="1"/>
  <c r="M12" i="1"/>
  <c r="K13" i="1"/>
  <c r="M13" i="1"/>
  <c r="K14" i="1"/>
  <c r="M14" i="1"/>
  <c r="M16" i="1"/>
  <c r="N16" i="1"/>
  <c r="F50" i="68"/>
  <c r="L19" i="6"/>
  <c r="M19" i="6"/>
  <c r="I19" i="6"/>
  <c r="H19" i="6"/>
  <c r="R19" i="6"/>
  <c r="H9" i="68"/>
  <c r="D29" i="43"/>
  <c r="Y6" i="1"/>
  <c r="N14" i="1"/>
  <c r="K15" i="1"/>
  <c r="K16" i="1"/>
  <c r="B29" i="1"/>
  <c r="N6" i="1"/>
  <c r="F19" i="6"/>
  <c r="C11" i="4"/>
  <c r="B7" i="4"/>
  <c r="D3" i="4"/>
  <c r="G2" i="43"/>
  <c r="I2" i="43"/>
  <c r="M4" i="43"/>
  <c r="C6" i="43"/>
  <c r="G17" i="43"/>
  <c r="H17" i="43"/>
  <c r="I17" i="43"/>
  <c r="J17" i="43"/>
  <c r="C17" i="43"/>
  <c r="C16" i="43"/>
  <c r="C5"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C19" i="43"/>
  <c r="C1" i="73"/>
  <c r="J1" i="73"/>
  <c r="J20" i="43"/>
  <c r="F15" i="4"/>
  <c r="F6" i="1"/>
  <c r="I20" i="43"/>
  <c r="D59" i="43"/>
  <c r="D60" i="43"/>
  <c r="D61" i="43"/>
  <c r="D62" i="43"/>
  <c r="D63" i="43"/>
  <c r="D64" i="43"/>
  <c r="D65" i="43"/>
  <c r="D66" i="43"/>
  <c r="D67" i="43"/>
  <c r="E59" i="43"/>
  <c r="B57" i="43"/>
  <c r="C24" i="43"/>
  <c r="F39" i="43"/>
  <c r="G39" i="43"/>
  <c r="F38" i="43"/>
  <c r="G38" i="43"/>
  <c r="F37" i="43"/>
  <c r="G37" i="43"/>
  <c r="D5" i="43"/>
  <c r="F36" i="43"/>
  <c r="G36" i="43"/>
  <c r="F35" i="43"/>
  <c r="G35" i="43"/>
  <c r="F34" i="43"/>
  <c r="G34" i="43"/>
  <c r="M47" i="67"/>
  <c r="J53" i="67"/>
  <c r="M47" i="15"/>
  <c r="G1" i="15"/>
  <c r="J50" i="15"/>
  <c r="J51" i="15"/>
  <c r="C18" i="43"/>
  <c r="AD5" i="3"/>
  <c r="AH5" i="3"/>
  <c r="AL5" i="3"/>
  <c r="AP5" i="3"/>
  <c r="I5" i="3"/>
  <c r="I4" i="6"/>
  <c r="F33" i="43"/>
  <c r="G33" i="43"/>
  <c r="H33" i="43"/>
  <c r="I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D18" i="3"/>
  <c r="BE18" i="3"/>
  <c r="BF18" i="3"/>
  <c r="BG18" i="3"/>
  <c r="BH18" i="3"/>
  <c r="BI18" i="3"/>
  <c r="BJ18" i="3"/>
  <c r="BK18" i="3"/>
  <c r="BM18" i="3"/>
  <c r="BN18" i="3"/>
  <c r="BO18" i="3"/>
  <c r="BP18" i="3"/>
  <c r="BQ18" i="3"/>
  <c r="BS18" i="3"/>
  <c r="BT18" i="3"/>
  <c r="BB19" i="3"/>
  <c r="BD19" i="3"/>
  <c r="BE19" i="3"/>
  <c r="BF19" i="3"/>
  <c r="BG19" i="3"/>
  <c r="BH19" i="3"/>
  <c r="BI19" i="3"/>
  <c r="BJ19" i="3"/>
  <c r="BK19" i="3"/>
  <c r="BM19" i="3"/>
  <c r="BN19" i="3"/>
  <c r="BO19" i="3"/>
  <c r="BP19" i="3"/>
  <c r="BQ19" i="3"/>
  <c r="BS19" i="3"/>
  <c r="BT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L1" i="73"/>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33" i="15"/>
  <c r="F61" i="15"/>
  <c r="M19" i="15"/>
  <c r="O10" i="1"/>
  <c r="B22" i="1"/>
  <c r="B23" i="1"/>
  <c r="B24" i="1"/>
  <c r="B43" i="1"/>
  <c r="D78" i="9"/>
  <c r="E20" i="6"/>
  <c r="E21" i="6"/>
  <c r="F23" i="15"/>
  <c r="D24" i="15"/>
  <c r="O8" i="1"/>
  <c r="P8" i="1"/>
  <c r="O13" i="1"/>
  <c r="P13" i="1"/>
  <c r="E22" i="6"/>
  <c r="E23" i="6"/>
  <c r="E24" i="6"/>
  <c r="E25" i="6"/>
  <c r="E26" i="6"/>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4" i="43"/>
  <c r="F59" i="43"/>
  <c r="BO5" i="3"/>
  <c r="BM5" i="3"/>
  <c r="F29" i="6"/>
  <c r="BJ5" i="3"/>
  <c r="BH5" i="3"/>
  <c r="BF5" i="3"/>
  <c r="BD5" i="3"/>
  <c r="BQ5" i="3"/>
  <c r="AC5" i="3"/>
  <c r="BS5" i="3"/>
  <c r="BP5" i="3"/>
  <c r="BN5" i="3"/>
  <c r="BK5" i="3"/>
  <c r="BI5" i="3"/>
  <c r="BG5" i="3"/>
  <c r="BE5" i="3"/>
  <c r="BC5" i="3"/>
  <c r="BT5" i="3"/>
  <c r="BB5" i="3"/>
  <c r="U36" i="40"/>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<sst xmlns="http://schemas.openxmlformats.org/spreadsheetml/2006/main" count="7321" uniqueCount="3094">
  <si>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</si>
  <si>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</si>
  <si>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</si>
  <si>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</si>
  <si>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</si>
  <si>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</si>
  <si>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</si>
  <si>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</si>
  <si>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</si>
  <si>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</si>
  <si>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</si>
  <si>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</si>
  <si>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</si>
  <si>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</si>
  <si>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</si>
  <si>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</si>
  <si>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</si>
  <si>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</si>
  <si>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</si>
  <si>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</si>
  <si>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</si>
  <si>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</si>
  <si>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</si>
  <si>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</si>
  <si>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</si>
  <si>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</si>
  <si>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</si>
  <si>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</si>
  <si>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</si>
  <si>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</si>
  <si>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</si>
  <si>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</si>
  <si>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</si>
  <si>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</si>
  <si>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</si>
  <si>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</si>
  <si>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</si>
  <si>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</si>
  <si>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</si>
  <si>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</si>
  <si>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</si>
  <si>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</si>
  <si>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</si>
  <si>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</si>
  <si>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</si>
  <si>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</si>
  <si>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</si>
  <si>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</si>
  <si>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</si>
  <si>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</si>
  <si>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</si>
  <si>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</si>
  <si>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</si>
  <si>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</si>
  <si>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</si>
  <si>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</si>
  <si>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</si>
  <si>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</si>
  <si>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</si>
  <si>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</si>
  <si>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</si>
  <si>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</si>
  <si>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</si>
  <si>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</si>
  <si>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</si>
  <si>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</si>
  <si>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</si>
  <si>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</si>
  <si>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</si>
  <si>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</si>
  <si>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</si>
  <si>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</si>
  <si>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</si>
  <si>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</si>
  <si>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</si>
  <si>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</si>
  <si>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</si>
  <si>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</si>
  <si>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</si>
  <si>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</si>
  <si>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</si>
  <si>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</si>
  <si>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</si>
  <si>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</si>
  <si>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</si>
  <si>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</si>
  <si>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</si>
  <si>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</si>
  <si>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</si>
  <si>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</si>
  <si>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</si>
  <si>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</si>
  <si>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</si>
  <si>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</si>
  <si>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</si>
  <si>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</si>
  <si>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</si>
  <si>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</si>
  <si>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</si>
  <si>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</si>
  <si>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</si>
  <si>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</si>
  <si>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</si>
  <si>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</si>
  <si>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</si>
  <si>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</si>
  <si>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</si>
  <si>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</si>
  <si>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</si>
  <si>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</si>
  <si>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</si>
  <si>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</si>
  <si>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</si>
  <si>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</si>
  <si>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</si>
  <si>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</si>
  <si>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</si>
  <si>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</si>
  <si>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</si>
  <si>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</si>
  <si>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</si>
  <si>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</si>
  <si>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</si>
  <si>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</si>
  <si>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</si>
  <si>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</si>
  <si>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</si>
  <si>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</si>
  <si>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</si>
  <si>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</si>
  <si>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</si>
  <si>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</si>
  <si>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</si>
  <si>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</si>
  <si>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</si>
  <si>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</si>
  <si>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</si>
  <si>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</si>
  <si>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</si>
  <si>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</si>
  <si>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</si>
  <si>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</si>
  <si>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</si>
  <si>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</si>
  <si>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</si>
  <si>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</si>
  <si>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</si>
  <si>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</si>
  <si>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</si>
  <si>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</si>
  <si>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</si>
  <si>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</si>
  <si>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</si>
  <si>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</si>
  <si>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</si>
  <si>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</si>
  <si>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</si>
  <si>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</si>
  <si>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</si>
  <si>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</si>
  <si>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</si>
  <si>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</si>
  <si>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</si>
  <si>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</si>
  <si>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</si>
  <si>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</si>
  <si>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</si>
  <si>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</si>
  <si>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</si>
  <si>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</si>
  <si>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</si>
  <si>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</si>
  <si>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</si>
  <si>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</si>
  <si>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</si>
  <si>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</si>
  <si>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</si>
  <si>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</si>
  <si>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</si>
  <si>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</si>
  <si>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</si>
  <si>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</si>
  <si>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</si>
  <si>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</si>
  <si>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</si>
  <si>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</si>
  <si>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</si>
  <si>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</si>
  <si>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</si>
  <si>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</si>
  <si>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</si>
  <si>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</si>
  <si>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</si>
  <si>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</si>
  <si>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</si>
  <si>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</si>
  <si>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</si>
  <si>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</si>
  <si>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</si>
  <si>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</si>
  <si>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</si>
  <si>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</si>
  <si>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</si>
  <si>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</si>
  <si>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</si>
  <si>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</si>
  <si>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</si>
  <si>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</si>
  <si>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</si>
  <si>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</si>
  <si>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</si>
  <si>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</si>
  <si>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</si>
  <si>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</si>
  <si>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</si>
  <si>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</si>
  <si>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</si>
  <si>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</si>
  <si>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</si>
  <si>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</si>
  <si>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</si>
  <si>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</si>
  <si>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</si>
  <si>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</si>
  <si>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</si>
  <si>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</si>
  <si>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</si>
  <si>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</si>
  <si>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</si>
  <si>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</si>
  <si>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</si>
  <si>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</si>
  <si>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</si>
  <si>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</si>
  <si>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</si>
  <si>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</si>
  <si>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</si>
  <si>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</si>
  <si>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</si>
  <si>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</si>
  <si>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</si>
  <si>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</si>
  <si>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</si>
  <si>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</si>
  <si>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</si>
  <si>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</si>
  <si>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</si>
  <si>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</si>
  <si>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</si>
  <si>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</si>
  <si>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</si>
  <si>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</si>
  <si>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</si>
  <si>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</si>
  <si>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</si>
  <si>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</si>
  <si>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</si>
  <si>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</si>
  <si>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</si>
  <si>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</si>
  <si>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</si>
  <si>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</si>
  <si>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</si>
  <si>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</si>
  <si>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</si>
  <si>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</si>
  <si>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</si>
  <si>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</si>
  <si>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</si>
  <si>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</si>
  <si>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</si>
  <si>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</si>
  <si>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</si>
  <si>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</si>
  <si>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</si>
  <si>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</si>
  <si>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</si>
  <si>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</si>
  <si>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</si>
  <si>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</si>
  <si>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</si>
  <si>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</si>
  <si>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</si>
  <si>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</si>
  <si>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</si>
  <si>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</si>
  <si>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</si>
  <si>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</si>
  <si>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</si>
  <si>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</si>
  <si>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</si>
  <si>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</si>
  <si>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</si>
  <si>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</si>
  <si>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</si>
  <si>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</si>
  <si>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</si>
  <si>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</si>
  <si>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</si>
  <si>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</si>
  <si>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</si>
  <si>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</si>
  <si>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</si>
  <si>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</si>
  <si>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</si>
  <si>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</si>
  <si>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</si>
  <si>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</si>
  <si>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</si>
  <si>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</si>
  <si>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</si>
  <si>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</si>
  <si>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</si>
  <si>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</si>
  <si>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</si>
  <si>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</si>
  <si>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</si>
  <si>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</si>
  <si>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</si>
  <si>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</si>
  <si>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</si>
  <si>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</si>
  <si>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</si>
  <si>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</si>
  <si>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</si>
  <si>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</si>
  <si>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</si>
  <si>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</si>
  <si>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</si>
  <si>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</si>
  <si>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</si>
  <si>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</si>
  <si>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</si>
  <si>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</si>
  <si>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</si>
  <si>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</si>
  <si>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</si>
  <si>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</si>
  <si>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</si>
  <si>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</si>
  <si>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</si>
  <si>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</si>
  <si>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</si>
  <si>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</si>
  <si>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</si>
  <si>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</si>
  <si>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</si>
  <si>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</si>
  <si>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</si>
  <si>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</si>
  <si>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</si>
  <si>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</si>
  <si>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</si>
  <si>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</si>
  <si>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</si>
  <si>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</si>
  <si>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</si>
  <si>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</si>
  <si>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</si>
  <si>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</si>
  <si>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</si>
  <si>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</si>
  <si>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</si>
  <si>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</si>
  <si>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</si>
  <si>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</si>
  <si>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</si>
  <si>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</si>
  <si>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</si>
  <si>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</si>
  <si>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</si>
  <si>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</si>
  <si>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</si>
  <si>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</si>
  <si>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</si>
  <si>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</si>
  <si>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</si>
  <si>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</si>
  <si>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</si>
  <si>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</si>
  <si>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</si>
  <si>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</si>
  <si>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</si>
  <si>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</si>
  <si>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</si>
  <si>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</si>
  <si>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</si>
  <si>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</si>
  <si>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</si>
  <si>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</si>
  <si>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</si>
  <si>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</si>
  <si>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</si>
  <si>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</si>
  <si>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</si>
  <si>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</si>
  <si>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</si>
  <si>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</si>
  <si>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</si>
  <si>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</si>
  <si>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</si>
  <si>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</si>
  <si>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</si>
  <si>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</si>
  <si>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</si>
  <si>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</si>
  <si>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</si>
  <si>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</si>
  <si>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</si>
  <si>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</si>
  <si>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</si>
  <si>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</si>
  <si>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</si>
  <si>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</si>
  <si>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</si>
  <si>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</si>
  <si>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</si>
  <si>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</si>
  <si>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</si>
  <si>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</si>
  <si>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</si>
  <si>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</si>
  <si>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</si>
  <si>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</si>
  <si>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</si>
  <si>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</si>
  <si>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</si>
  <si>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</si>
  <si>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</si>
  <si>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</si>
  <si>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</si>
  <si>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</si>
  <si>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</si>
  <si>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</si>
  <si>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</si>
  <si>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</si>
  <si>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</si>
  <si>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</si>
  <si>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</si>
  <si>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</si>
  <si>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</si>
  <si>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</si>
  <si>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</si>
  <si>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</si>
  <si>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</si>
  <si>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</si>
  <si>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</si>
  <si>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</si>
  <si>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</si>
  <si>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</si>
  <si>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</si>
  <si>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</si>
  <si>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</si>
  <si>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</si>
  <si>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</si>
  <si>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</si>
  <si>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</si>
  <si>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</si>
  <si>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</si>
  <si>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</si>
  <si>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</si>
  <si>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</si>
  <si>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</si>
  <si>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</si>
  <si>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</si>
  <si>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</si>
  <si>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</si>
  <si>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</si>
  <si>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</si>
  <si>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</si>
  <si>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</si>
  <si>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</si>
  <si>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</si>
  <si>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</si>
  <si>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</si>
  <si>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</si>
  <si>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</si>
  <si>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</si>
  <si>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</si>
  <si>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</si>
  <si>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</si>
  <si>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</si>
  <si>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</si>
  <si>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</si>
  <si>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</si>
  <si>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</si>
  <si>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</si>
  <si>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</si>
  <si>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</si>
  <si>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</si>
  <si>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</si>
  <si>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</si>
  <si>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</si>
  <si>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</si>
  <si>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</si>
  <si>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</si>
  <si>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</si>
  <si>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</si>
  <si>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</si>
  <si>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</si>
  <si>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</si>
  <si>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</si>
  <si>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</si>
  <si>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</si>
  <si>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</si>
  <si>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</si>
  <si>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</si>
  <si>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</si>
  <si>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</si>
  <si>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</si>
  <si>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</si>
  <si>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</si>
  <si>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</si>
  <si>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</si>
  <si>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</si>
  <si>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</si>
  <si>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</si>
  <si>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</si>
  <si>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</si>
  <si>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</si>
  <si>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</si>
  <si>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</si>
  <si>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</si>
  <si>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</si>
  <si>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</si>
  <si>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</si>
  <si>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</si>
  <si>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</si>
  <si>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</si>
  <si>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</si>
  <si>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</si>
  <si>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</si>
  <si>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</si>
  <si>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</si>
  <si>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</si>
  <si>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</si>
  <si>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</si>
  <si>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</si>
  <si>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</si>
  <si>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</si>
  <si>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</si>
  <si>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</si>
  <si>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</si>
  <si>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</si>
  <si>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</si>
  <si>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</si>
  <si>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</si>
  <si>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</si>
  <si>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</si>
  <si>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</si>
  <si>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</si>
  <si>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</si>
  <si>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</si>
  <si>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</si>
  <si>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</si>
  <si>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</si>
  <si>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</si>
  <si>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</si>
  <si>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</si>
  <si>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</si>
  <si>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</si>
  <si>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</si>
  <si>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</si>
  <si>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</si>
  <si>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</si>
  <si>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</si>
  <si>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</si>
  <si>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</si>
  <si>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</si>
  <si>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</si>
  <si>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</si>
  <si>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</si>
  <si>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</si>
  <si>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</si>
  <si>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</si>
  <si>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</si>
  <si>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</si>
  <si>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</si>
  <si>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</si>
  <si>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</si>
  <si>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</si>
  <si>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</si>
  <si>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</si>
  <si>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</si>
  <si>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</si>
  <si>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</si>
  <si>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</si>
  <si>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</si>
  <si>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</si>
  <si>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</si>
  <si>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</si>
  <si>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</si>
  <si>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</si>
  <si>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</si>
  <si>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</si>
  <si>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</si>
  <si>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</si>
  <si>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</si>
  <si>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</si>
  <si>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</si>
  <si>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</si>
  <si>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</si>
  <si>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</si>
  <si>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</si>
  <si>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</si>
  <si>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</si>
  <si>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</si>
  <si>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</si>
  <si>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</si>
  <si>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</si>
  <si>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</si>
  <si>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</si>
  <si>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</si>
  <si>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</si>
  <si>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</si>
  <si>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</si>
  <si>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</si>
  <si>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</si>
  <si>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</si>
  <si>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</si>
  <si>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</si>
  <si>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</si>
  <si>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</si>
  <si>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</si>
  <si>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</si>
  <si>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</si>
  <si>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</si>
  <si>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</si>
  <si>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</si>
  <si>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</si>
  <si>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</si>
  <si>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</si>
  <si>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</si>
  <si>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</si>
  <si>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</si>
  <si>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</si>
  <si>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</si>
  <si>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</si>
  <si>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</si>
  <si>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</si>
  <si>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</si>
  <si>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</si>
  <si>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</si>
  <si>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</si>
  <si>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</si>
  <si>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</si>
  <si>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</si>
  <si>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</si>
  <si>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</si>
  <si>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</si>
  <si>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</si>
  <si>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</si>
  <si>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</si>
  <si>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</si>
  <si>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</si>
  <si>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</si>
  <si>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</si>
  <si>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</si>
  <si>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</si>
  <si>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</si>
  <si>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</si>
  <si>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</si>
  <si>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</si>
  <si>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</si>
  <si>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</si>
  <si>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</si>
  <si>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</si>
  <si>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</si>
  <si>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</si>
  <si>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</si>
  <si>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</si>
  <si>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</si>
  <si>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</si>
  <si>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</si>
  <si>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</si>
  <si>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</si>
  <si>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</si>
  <si>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</si>
  <si>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</si>
  <si>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</si>
  <si>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</si>
  <si>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</si>
  <si>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</si>
  <si>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</si>
  <si>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</si>
  <si>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</si>
  <si>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</si>
  <si>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</si>
  <si>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</si>
  <si>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</si>
  <si>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</si>
  <si>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</si>
  <si>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</si>
  <si>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</si>
  <si>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</si>
  <si>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</si>
  <si>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</si>
  <si>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</si>
  <si>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</si>
  <si>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</si>
  <si>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</si>
  <si>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</si>
  <si>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</si>
  <si>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</si>
  <si>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</si>
  <si>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</si>
  <si>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</si>
  <si>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</si>
  <si>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</si>
  <si>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</si>
  <si>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</si>
  <si>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</si>
  <si>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</si>
  <si>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</si>
  <si>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</si>
  <si>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</si>
  <si>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</si>
  <si>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</si>
  <si>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</si>
  <si>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</si>
  <si>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</si>
  <si>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</si>
  <si>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</si>
  <si>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</si>
  <si>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</si>
  <si>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</si>
  <si>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</si>
  <si>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</si>
  <si>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</si>
  <si>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</si>
  <si>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</si>
  <si>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</si>
  <si>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</si>
  <si>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</si>
  <si>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</si>
  <si>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</si>
  <si>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</si>
  <si>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</si>
  <si>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</si>
  <si>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</si>
  <si>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</si>
  <si>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</si>
  <si>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</si>
  <si>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</si>
  <si>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</si>
  <si>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</si>
  <si>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</si>
  <si>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</si>
  <si>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</si>
  <si>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</si>
  <si>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</si>
  <si>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</si>
  <si>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</si>
  <si>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</si>
  <si>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</si>
  <si>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</si>
  <si>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</si>
  <si>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</si>
  <si>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</si>
  <si>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</si>
  <si>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</si>
  <si>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</si>
  <si>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</si>
  <si>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</si>
  <si>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</si>
  <si>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</si>
  <si>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</si>
  <si>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</si>
  <si>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</si>
  <si>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</si>
  <si>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</si>
  <si>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</si>
  <si>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</si>
  <si>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</si>
  <si>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</si>
  <si>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</si>
  <si>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</si>
  <si>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</si>
  <si>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</si>
  <si>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</si>
  <si>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</si>
  <si>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</si>
  <si>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</si>
  <si>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</si>
  <si>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</si>
  <si>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</si>
  <si>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</si>
  <si>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</si>
  <si>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</si>
  <si>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</si>
  <si>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</si>
  <si>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</si>
  <si>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</si>
  <si>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</si>
  <si>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</si>
  <si>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</si>
  <si>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</si>
  <si>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</si>
  <si>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</si>
  <si>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</si>
  <si>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</si>
  <si>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</si>
  <si>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</si>
  <si>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</si>
  <si>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</si>
  <si>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</si>
  <si>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</si>
  <si>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</si>
  <si>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</si>
  <si>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</si>
  <si>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</si>
  <si>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</si>
  <si>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</si>
  <si>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</si>
  <si>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</si>
  <si>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</si>
  <si>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</si>
  <si>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</si>
  <si>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</si>
  <si>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</si>
  <si>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</si>
  <si>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</si>
  <si>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</si>
  <si>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</si>
  <si>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</si>
  <si>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</si>
  <si>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</si>
  <si>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</si>
  <si>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</si>
  <si>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</si>
  <si>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</si>
  <si>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</si>
  <si>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</si>
  <si>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</si>
  <si>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</si>
  <si>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</si>
  <si>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</si>
  <si>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</si>
  <si>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</si>
  <si>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</si>
  <si>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</si>
  <si>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</si>
  <si>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</si>
  <si>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</si>
  <si>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</si>
  <si>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</si>
  <si>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</si>
  <si>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</si>
  <si>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</si>
  <si>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</si>
  <si>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</si>
  <si>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</si>
  <si>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</si>
  <si>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</si>
  <si>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</si>
  <si>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</si>
  <si>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</si>
  <si>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</si>
  <si>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</si>
  <si>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</si>
  <si>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</si>
  <si>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</si>
  <si>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</si>
  <si>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</si>
  <si>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</si>
  <si>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</si>
  <si>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</si>
  <si>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</si>
  <si>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</si>
  <si>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</si>
  <si>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</si>
  <si>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</si>
  <si>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</si>
  <si>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</si>
  <si>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</si>
  <si>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</si>
  <si>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</si>
  <si>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</si>
  <si>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</si>
  <si>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</si>
  <si>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</si>
  <si>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</si>
  <si>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</si>
  <si>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</si>
  <si>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</si>
  <si>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</si>
  <si>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</si>
  <si>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</si>
  <si>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</si>
  <si>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</si>
  <si>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</si>
  <si>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</si>
  <si>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</si>
  <si>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</si>
  <si>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</si>
  <si>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</si>
  <si>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</si>
  <si>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</si>
  <si>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</si>
  <si>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</si>
  <si>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</si>
  <si>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</si>
  <si>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</si>
  <si>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</si>
  <si>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</si>
  <si>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</si>
  <si>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</si>
  <si>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</si>
  <si>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</si>
  <si>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</si>
  <si>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</si>
  <si>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</si>
  <si>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</si>
  <si>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</si>
  <si>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</si>
  <si>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</si>
  <si>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</si>
  <si>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</si>
  <si>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</si>
  <si>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</si>
  <si>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</si>
  <si>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</si>
  <si>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</si>
  <si>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</si>
  <si>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</si>
  <si>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</si>
  <si>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</si>
  <si>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</si>
  <si>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</si>
  <si>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</si>
  <si>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</si>
  <si>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</si>
  <si>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</si>
  <si>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</si>
  <si>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</si>
  <si>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</si>
  <si>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</si>
  <si>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</si>
  <si>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</si>
  <si>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</si>
  <si>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</si>
  <si>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</si>
  <si>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</si>
  <si>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</si>
  <si>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</si>
  <si>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</si>
  <si>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</si>
  <si>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</si>
  <si>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</si>
  <si>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</si>
  <si>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</si>
  <si>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</si>
  <si>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</si>
  <si>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</si>
  <si>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</si>
  <si>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</si>
  <si>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</si>
  <si>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</si>
  <si>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</si>
  <si>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</si>
  <si>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</si>
  <si>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</si>
  <si>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</si>
  <si>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</si>
  <si>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</si>
  <si>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</si>
  <si>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</si>
  <si>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</si>
  <si>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</si>
  <si>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</si>
  <si>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</si>
  <si>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</si>
  <si>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</si>
  <si>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</si>
  <si>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</si>
  <si>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</si>
  <si>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</si>
  <si>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</si>
  <si>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</si>
  <si>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</si>
  <si>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</si>
  <si>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</si>
  <si>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</si>
  <si>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</si>
  <si>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</si>
  <si>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</si>
  <si>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</si>
  <si>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</si>
  <si>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</si>
  <si>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</si>
  <si>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</si>
  <si>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</si>
  <si>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</si>
  <si>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</si>
  <si>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</si>
  <si>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</si>
  <si>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</si>
  <si>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</si>
  <si>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</si>
  <si>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</si>
  <si>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</si>
  <si>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</si>
  <si>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</si>
  <si>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</si>
  <si>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</si>
  <si>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</si>
  <si>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</si>
  <si>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</si>
  <si>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</si>
  <si>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</si>
  <si>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</si>
  <si>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</si>
  <si>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</si>
  <si>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</si>
  <si>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</si>
  <si>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</si>
  <si>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</si>
  <si>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</si>
  <si>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</si>
  <si>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</si>
  <si>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</si>
  <si>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</si>
  <si>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</si>
  <si>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</si>
  <si>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</si>
  <si>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</si>
  <si>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</si>
  <si>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</si>
  <si>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</si>
  <si>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</si>
  <si>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</si>
  <si>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</si>
  <si>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</si>
  <si>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</si>
  <si>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</si>
  <si>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</si>
  <si>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</si>
  <si>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</si>
  <si>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</si>
  <si>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</si>
  <si>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</si>
  <si>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</si>
  <si>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</si>
  <si>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</si>
  <si>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</si>
  <si>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</si>
  <si>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</si>
  <si>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</si>
  <si>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</si>
  <si>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</si>
  <si>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</si>
  <si>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</si>
  <si>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</si>
  <si>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</si>
  <si>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</si>
  <si>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</si>
  <si>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</si>
  <si>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</si>
  <si>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</si>
  <si>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</si>
  <si>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</si>
  <si>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</si>
  <si>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</si>
  <si>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</si>
  <si>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</si>
  <si>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</si>
  <si>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</si>
  <si>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</si>
  <si>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</si>
  <si>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</si>
  <si>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</si>
  <si>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</si>
  <si>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</si>
  <si>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</si>
  <si>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</si>
  <si>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</si>
  <si>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</si>
  <si>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</si>
  <si>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</si>
  <si>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</si>
  <si>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</si>
  <si>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</si>
  <si>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</si>
  <si>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</si>
  <si>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</si>
  <si>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</si>
  <si>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</si>
  <si>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</si>
  <si>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</si>
  <si>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</si>
  <si>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</si>
  <si>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</si>
  <si>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</si>
  <si>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</si>
  <si>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</si>
  <si>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</si>
  <si>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</si>
  <si>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</si>
  <si>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</si>
  <si>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</si>
  <si>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</si>
  <si>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</si>
  <si>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</si>
  <si>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</si>
  <si>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</si>
  <si>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</si>
  <si>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</si>
  <si>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</si>
  <si>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</si>
  <si>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</si>
  <si>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</si>
  <si>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</si>
  <si>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</si>
  <si>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</si>
  <si>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</si>
  <si>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</si>
  <si>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</si>
  <si>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</si>
  <si>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</si>
  <si>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</si>
  <si>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</si>
  <si>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</si>
  <si>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</si>
  <si>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</si>
  <si>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</si>
  <si>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</si>
  <si>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</si>
  <si>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</si>
  <si>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</si>
  <si>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</si>
  <si>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</si>
  <si>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</si>
  <si>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</si>
  <si>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</si>
  <si>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</si>
  <si>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</si>
  <si>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</si>
  <si>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</si>
  <si>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</si>
  <si>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</si>
  <si>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</si>
  <si>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</si>
  <si>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</si>
  <si>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</si>
  <si>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</si>
  <si>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</si>
  <si>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</si>
  <si>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</si>
  <si>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</si>
  <si>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</si>
  <si>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</si>
  <si>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</si>
  <si>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</si>
  <si>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</si>
  <si>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</si>
  <si>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</si>
  <si>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</si>
  <si>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</si>
  <si>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</si>
  <si>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</si>
  <si>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</si>
  <si>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</si>
  <si>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</si>
  <si>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</si>
  <si>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</si>
  <si>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</si>
  <si>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</si>
  <si>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</si>
  <si>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</si>
  <si>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</si>
  <si>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</si>
  <si>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</si>
  <si>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</si>
  <si>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</si>
  <si>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</si>
  <si>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</si>
  <si>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</si>
  <si>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</si>
  <si>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</si>
  <si>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</si>
  <si>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</si>
  <si>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</si>
  <si>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</si>
  <si>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</si>
  <si>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</si>
  <si>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</si>
  <si>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</si>
  <si>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</si>
  <si>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</si>
  <si>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</si>
  <si>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</si>
  <si>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</si>
  <si>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</si>
  <si>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</si>
  <si>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</si>
  <si>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</si>
  <si>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</si>
  <si>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</si>
  <si>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</si>
  <si>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</si>
  <si>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</si>
  <si>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</si>
  <si>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</si>
  <si>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</si>
  <si>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</si>
  <si>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</si>
  <si>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</si>
  <si>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</si>
  <si>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</si>
  <si>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</si>
  <si>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</si>
  <si>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</si>
  <si>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</si>
  <si>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</si>
  <si>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</si>
  <si>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</si>
  <si>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</si>
  <si>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</si>
  <si>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</si>
  <si>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</si>
  <si>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</si>
  <si>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</si>
  <si>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</si>
  <si>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</si>
  <si>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</si>
  <si>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</si>
  <si>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</si>
  <si>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</si>
  <si>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</si>
  <si>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</si>
  <si>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</si>
  <si>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</si>
  <si>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</si>
  <si>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</si>
  <si>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</si>
  <si>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</si>
  <si>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</si>
  <si>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</si>
  <si>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</si>
  <si>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</si>
  <si>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</si>
  <si>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</si>
  <si>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</si>
  <si>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</si>
  <si>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</si>
  <si>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</si>
  <si>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</si>
  <si>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</si>
  <si>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</si>
  <si>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</si>
  <si>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</si>
  <si>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</si>
  <si>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</si>
  <si>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</si>
  <si>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</si>
  <si>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</si>
  <si>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</si>
  <si>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</si>
  <si>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</si>
  <si>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</si>
  <si>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</si>
  <si>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</si>
  <si>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</si>
  <si>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</si>
  <si>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</si>
  <si>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</si>
  <si>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</si>
  <si>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</si>
  <si>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</si>
  <si>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</si>
  <si>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</si>
  <si>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</si>
  <si>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</si>
  <si>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</si>
  <si>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</si>
  <si>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</si>
  <si>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</si>
  <si>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</si>
  <si>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</si>
  <si>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</si>
  <si>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</si>
  <si>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</si>
  <si>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</si>
  <si>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</si>
  <si>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</si>
  <si>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</si>
  <si>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</si>
  <si>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</si>
  <si>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</si>
  <si>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</si>
  <si>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</si>
  <si>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</si>
  <si>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</si>
  <si>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</si>
  <si>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</si>
  <si>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</si>
  <si>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</si>
  <si>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</si>
  <si>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</si>
  <si>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</si>
  <si>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</si>
  <si>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</si>
  <si>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</si>
  <si>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</si>
  <si>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</si>
  <si>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</si>
  <si>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</si>
  <si>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</si>
  <si>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</si>
  <si>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</si>
  <si>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</si>
  <si>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</si>
  <si>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</si>
  <si>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</si>
  <si>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</si>
  <si>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</si>
  <si>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</si>
  <si>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</si>
  <si>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</si>
  <si>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</si>
  <si>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</si>
  <si>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</si>
  <si>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</si>
  <si>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</si>
  <si>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</si>
  <si>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</si>
  <si>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</si>
  <si>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</si>
  <si>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</si>
  <si>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</si>
  <si>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</si>
  <si>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</si>
  <si>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</si>
  <si>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</si>
  <si>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</si>
  <si>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</si>
  <si>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</si>
  <si>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</si>
  <si>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</si>
  <si>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</si>
  <si>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</si>
  <si>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</si>
  <si>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</si>
  <si>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</si>
  <si>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</si>
  <si>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</si>
  <si>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</si>
  <si>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</si>
  <si>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</si>
  <si>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</si>
  <si>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</si>
  <si>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</si>
  <si>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</si>
  <si>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</si>
  <si>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</si>
  <si>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</si>
  <si>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</si>
  <si>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</si>
  <si>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</si>
  <si>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</si>
  <si>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</si>
  <si>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</si>
  <si>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</si>
  <si>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</si>
  <si>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</si>
  <si>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</si>
  <si>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</si>
  <si>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</si>
  <si>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</si>
  <si>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</si>
  <si>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</si>
  <si>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</si>
  <si>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</si>
  <si>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</si>
  <si>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</si>
  <si>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</si>
  <si>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</si>
  <si>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</si>
  <si>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</si>
  <si>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</si>
  <si>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</si>
  <si>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</si>
  <si>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</si>
  <si>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</si>
  <si>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</si>
  <si>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</si>
  <si>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</si>
  <si>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</si>
  <si>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</si>
  <si>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</si>
  <si>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</si>
  <si>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</si>
  <si>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</si>
  <si>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</si>
  <si>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</si>
  <si>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</si>
  <si>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</si>
  <si>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</si>
  <si>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</si>
  <si>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</si>
  <si>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</si>
  <si>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</si>
  <si>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</si>
  <si>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</si>
  <si>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</si>
  <si>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</si>
  <si>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</si>
  <si>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</si>
  <si>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</si>
  <si>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</si>
  <si>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</si>
  <si>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</si>
  <si>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</si>
  <si>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</si>
  <si>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</si>
  <si>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</si>
  <si>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</si>
  <si>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</si>
  <si>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</si>
  <si>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</si>
  <si>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</si>
  <si>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</si>
  <si>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</si>
  <si>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</si>
  <si>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</si>
  <si>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</si>
  <si>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</si>
  <si>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</si>
  <si>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</si>
  <si>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</si>
  <si>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</si>
  <si>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</si>
  <si>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</si>
  <si>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</si>
  <si>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</si>
  <si>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</si>
  <si>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</si>
  <si>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</si>
  <si>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</si>
  <si>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</si>
  <si>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</si>
  <si>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</si>
  <si>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</si>
  <si>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</si>
  <si>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</si>
  <si>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</si>
  <si>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</si>
  <si>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</si>
  <si>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</si>
  <si>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</si>
  <si>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</si>
  <si>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</si>
  <si>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</si>
  <si>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</si>
  <si>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</si>
  <si>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</si>
  <si>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</si>
  <si>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</si>
  <si>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</si>
  <si>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</si>
  <si>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</si>
  <si>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</si>
  <si>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</si>
  <si>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</si>
  <si>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</si>
  <si>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</si>
  <si>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</si>
  <si>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</si>
  <si>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</si>
  <si>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</si>
  <si>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</si>
  <si>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</si>
  <si>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</si>
  <si>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</si>
  <si>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</si>
  <si>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</si>
  <si>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</si>
  <si>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</si>
  <si>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</si>
  <si>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</si>
  <si>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</si>
  <si>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</si>
  <si>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</si>
  <si>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</si>
  <si>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</si>
  <si>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</si>
  <si>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</si>
  <si>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</si>
  <si>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</si>
  <si>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</si>
  <si>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</si>
  <si>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</si>
  <si>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</si>
  <si>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</si>
  <si>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</si>
  <si>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</si>
  <si>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</si>
  <si>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</si>
  <si>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</si>
  <si>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</si>
  <si>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</si>
  <si>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</si>
  <si>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</si>
  <si>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</si>
  <si>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</si>
  <si>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</si>
  <si>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</si>
  <si>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</si>
  <si>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</si>
  <si>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</si>
  <si>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</si>
  <si>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</si>
  <si>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</si>
  <si>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</si>
  <si>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</si>
  <si>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</si>
  <si>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</si>
  <si>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</si>
  <si>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</si>
  <si>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</si>
  <si>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</si>
  <si>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</si>
  <si>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</si>
  <si>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</si>
  <si>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</si>
  <si>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</si>
  <si>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</si>
  <si>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</si>
  <si>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</si>
  <si>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</si>
  <si>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</si>
  <si>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</si>
  <si>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</si>
  <si>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</si>
  <si>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</si>
  <si>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</si>
  <si>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</si>
  <si>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</si>
  <si>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</si>
  <si>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</si>
  <si>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</si>
  <si>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</si>
  <si>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</si>
  <si>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</si>
  <si>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</si>
  <si>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</si>
  <si>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</si>
  <si>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</si>
  <si>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</si>
  <si>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</si>
  <si>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</si>
  <si>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</si>
  <si>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</si>
  <si>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</si>
  <si>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</si>
  <si>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</si>
  <si>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</si>
  <si>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</si>
  <si>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</si>
  <si>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</si>
  <si>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</si>
  <si>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</si>
  <si>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</si>
  <si>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</si>
  <si>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</si>
  <si>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</si>
  <si>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</si>
  <si>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</si>
  <si>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</si>
  <si>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</si>
  <si>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</si>
  <si>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</si>
  <si>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</si>
  <si>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</si>
  <si>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</si>
  <si>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</si>
  <si>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</si>
  <si>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</si>
  <si>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</si>
  <si>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</si>
  <si>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</si>
  <si>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</si>
  <si>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</si>
  <si>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</si>
  <si>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</si>
  <si>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</si>
  <si>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</si>
  <si>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</si>
  <si>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</si>
  <si>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</si>
  <si>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</si>
  <si>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</si>
  <si>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</si>
  <si>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</si>
  <si>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</si>
  <si>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</si>
  <si>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</si>
  <si>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</si>
  <si>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</si>
  <si>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</si>
  <si>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</si>
  <si>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</si>
  <si>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</si>
  <si>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</si>
  <si>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</si>
  <si>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</si>
  <si>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</si>
  <si>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</si>
  <si>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</si>
  <si>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</si>
  <si>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</si>
  <si>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</si>
  <si>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</si>
  <si>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</si>
  <si>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</si>
  <si>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</si>
  <si>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</si>
  <si>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</si>
  <si>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</si>
  <si>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</si>
  <si>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</si>
  <si>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</si>
  <si>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</si>
  <si>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</si>
  <si>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</si>
  <si>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</si>
  <si>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</si>
  <si>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</si>
  <si>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</si>
  <si>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</si>
  <si>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</si>
  <si>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</si>
  <si>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</si>
  <si>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</si>
  <si>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</si>
  <si>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</si>
  <si>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</si>
  <si>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</si>
  <si>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</si>
  <si>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</si>
  <si>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</si>
  <si>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</si>
  <si>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</si>
  <si>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</si>
  <si>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</si>
  <si>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</si>
  <si>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</si>
  <si>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</si>
  <si>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</si>
  <si>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</si>
  <si>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</si>
  <si>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</si>
  <si>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</si>
  <si>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</si>
  <si>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</si>
  <si>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</si>
  <si>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</si>
  <si>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</si>
  <si>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</si>
  <si>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</si>
  <si>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</si>
  <si>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</si>
  <si>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</si>
  <si>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</si>
  <si>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</si>
  <si>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</si>
  <si>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</si>
  <si>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</si>
  <si>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</si>
  <si>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</si>
  <si>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</si>
  <si>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</si>
  <si>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</si>
  <si>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</si>
  <si>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</si>
  <si>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</si>
  <si>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</si>
  <si>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</si>
  <si>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</si>
  <si>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</si>
  <si>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</si>
  <si>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</si>
  <si>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</si>
  <si>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</si>
  <si>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</si>
  <si>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</si>
  <si>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</si>
  <si>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</si>
  <si>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</si>
  <si>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</si>
  <si>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</si>
  <si>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</si>
  <si>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</si>
  <si>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</si>
  <si>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</si>
  <si>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</si>
  <si>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</si>
  <si>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</si>
  <si>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</si>
  <si>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</si>
  <si>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</si>
  <si>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</si>
  <si>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</si>
  <si>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</si>
  <si>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</si>
  <si>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</si>
  <si>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</si>
  <si>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</si>
  <si>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</si>
  <si>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</si>
  <si>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</si>
  <si>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</si>
  <si>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</si>
  <si>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</si>
  <si>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</si>
  <si>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</si>
  <si>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</si>
  <si>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</si>
  <si>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</si>
  <si>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</si>
  <si>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</si>
  <si>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</si>
  <si>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</si>
  <si>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</si>
  <si>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</si>
  <si>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</si>
  <si>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</si>
  <si>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</si>
  <si>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</si>
  <si>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</si>
  <si>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</si>
  <si>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</si>
  <si>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</si>
  <si>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</si>
  <si>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</si>
  <si>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</si>
  <si>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</si>
  <si>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</si>
  <si>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</si>
  <si>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</si>
  <si>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</si>
  <si>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</si>
  <si>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</si>
  <si>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</si>
  <si>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</si>
  <si>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</si>
  <si>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</si>
  <si>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</si>
  <si>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</si>
  <si>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</si>
  <si>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</si>
  <si>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</si>
  <si>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</si>
  <si>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</si>
  <si>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</si>
  <si>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</si>
  <si>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</si>
  <si>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</si>
  <si>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</si>
  <si>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</si>
  <si>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</si>
  <si>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</si>
  <si>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</si>
  <si>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</si>
  <si>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</si>
  <si>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</si>
  <si>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</si>
  <si>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</si>
  <si>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</si>
  <si>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</si>
  <si>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</si>
  <si>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</si>
  <si>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</si>
  <si>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</si>
  <si>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</si>
  <si>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</si>
  <si>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</si>
  <si>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</si>
  <si>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</si>
  <si>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</si>
  <si>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</si>
  <si>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</si>
  <si>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</si>
  <si>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</si>
  <si>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</si>
  <si>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</si>
  <si>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</si>
  <si>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</si>
  <si>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</si>
  <si>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</si>
  <si>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</si>
  <si>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</si>
  <si>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</si>
  <si>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</si>
  <si>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</si>
  <si>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</si>
  <si>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</si>
  <si>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</si>
  <si>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</si>
  <si>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</si>
  <si>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</si>
  <si>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</si>
  <si>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</si>
  <si>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</si>
  <si>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</si>
  <si>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</si>
  <si>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</si>
  <si>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</si>
  <si>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</si>
  <si>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</si>
  <si>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</si>
  <si>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</si>
  <si>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</si>
  <si>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</si>
  <si>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</si>
  <si>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</si>
  <si>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</si>
  <si>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</si>
  <si>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</si>
  <si>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</si>
  <si>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</si>
  <si>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</si>
  <si>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</si>
  <si>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</si>
  <si>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</si>
  <si>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</si>
  <si>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</si>
  <si>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</si>
  <si>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</si>
  <si>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</si>
  <si>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</si>
  <si>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</si>
  <si>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</si>
  <si>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</si>
  <si>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</si>
  <si>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</si>
  <si>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</si>
  <si>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</si>
  <si>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</si>
  <si>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</si>
  <si>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</si>
  <si>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</si>
  <si>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</si>
  <si>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</si>
  <si>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</si>
  <si>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</si>
  <si>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</si>
  <si>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</si>
  <si>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</si>
  <si>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</si>
  <si>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</si>
  <si>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</si>
  <si>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</si>
  <si>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</si>
  <si>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</si>
  <si>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</si>
  <si>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</si>
  <si>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</si>
  <si>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</si>
  <si>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</si>
  <si>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</si>
  <si>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</si>
  <si>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</si>
  <si>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</si>
  <si>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</si>
  <si>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</si>
  <si>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</si>
  <si>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</si>
  <si>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</si>
  <si>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</si>
  <si>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</si>
  <si>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</si>
  <si>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</si>
  <si>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</si>
  <si>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</si>
  <si>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</si>
  <si>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</si>
  <si>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</si>
  <si>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</si>
  <si>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</si>
  <si>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</si>
  <si>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</si>
  <si>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</si>
  <si>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</si>
  <si>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</si>
  <si>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</si>
  <si>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</si>
  <si>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</si>
  <si>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</si>
  <si>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</si>
  <si>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</si>
  <si>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</si>
  <si>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</si>
  <si>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</si>
  <si>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</si>
  <si>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</si>
  <si>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</si>
  <si>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</si>
  <si>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</si>
  <si>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</si>
  <si>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</si>
  <si>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</si>
  <si>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</si>
  <si>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</si>
  <si>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</si>
  <si>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</si>
  <si>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</si>
  <si>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</si>
  <si>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</si>
  <si>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</si>
  <si>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</si>
  <si>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</si>
  <si>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</si>
  <si>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</si>
  <si>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</si>
  <si>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</si>
  <si>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</si>
  <si>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</si>
  <si>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</si>
  <si>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</si>
  <si>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</si>
  <si>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</si>
  <si>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</si>
  <si>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</si>
  <si>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</si>
  <si>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</si>
  <si>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</si>
  <si>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</si>
  <si>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</si>
  <si>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</si>
  <si>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</si>
  <si>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</si>
  <si>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</si>
  <si>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</si>
  <si>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</si>
  <si>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</si>
  <si>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</si>
  <si>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</si>
  <si>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</si>
  <si>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</si>
  <si>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</si>
  <si>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</si>
  <si>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</si>
  <si>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</si>
  <si>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</si>
  <si>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</si>
  <si>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</si>
  <si>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</si>
  <si>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</si>
  <si>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</si>
  <si>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</si>
  <si>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</si>
  <si>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</si>
  <si>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</si>
  <si>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</si>
  <si>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</si>
  <si>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</si>
  <si>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</si>
  <si>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</si>
  <si>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</si>
  <si>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</si>
  <si>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</si>
  <si>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</si>
  <si>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</si>
  <si>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</si>
  <si>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</si>
  <si>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</si>
  <si>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</si>
  <si>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</si>
  <si>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</si>
  <si>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</si>
  <si>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</si>
  <si>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</si>
  <si>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</si>
  <si>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</si>
  <si>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</si>
  <si>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</si>
  <si>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</si>
  <si>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</si>
  <si>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</si>
  <si>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</si>
  <si>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</si>
  <si>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</si>
  <si>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</si>
  <si>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</si>
  <si>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</si>
  <si>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</si>
  <si>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</si>
  <si>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</si>
  <si>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</si>
  <si>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</si>
  <si>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</si>
  <si>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</si>
  <si>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</si>
  <si>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</si>
  <si>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</si>
  <si>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</si>
  <si>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</si>
  <si>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</si>
  <si>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</si>
  <si>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</si>
  <si>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</si>
  <si>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</si>
  <si>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</si>
  <si>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</si>
  <si>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</si>
  <si>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</si>
  <si>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</si>
  <si>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</si>
  <si>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</si>
  <si>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</si>
  <si>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</si>
  <si>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</si>
  <si>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</si>
  <si>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</si>
  <si>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</si>
  <si>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</si>
  <si>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</si>
  <si>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</si>
  <si>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</si>
  <si>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</si>
  <si>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</si>
  <si>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</si>
  <si>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</si>
  <si>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</si>
  <si>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</si>
  <si>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</si>
  <si>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</si>
  <si>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</si>
  <si>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</si>
  <si>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</si>
  <si>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</si>
  <si>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</si>
  <si>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</si>
  <si>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</si>
  <si>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</si>
  <si>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</si>
  <si>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</si>
  <si>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</si>
  <si>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</si>
  <si>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</si>
  <si>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</si>
  <si>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</si>
  <si>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</si>
  <si>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</si>
  <si>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</si>
  <si>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</si>
  <si>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</si>
  <si>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</si>
  <si>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</si>
  <si>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</si>
  <si>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</si>
  <si>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</si>
  <si>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</si>
  <si>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</si>
  <si>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</si>
  <si>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</si>
  <si>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</si>
  <si>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</si>
  <si>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</si>
  <si>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</si>
  <si>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</si>
  <si>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</si>
  <si>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</si>
  <si>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</si>
  <si>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</si>
  <si>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</si>
  <si>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</si>
  <si>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</si>
  <si>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</si>
  <si>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</si>
  <si>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</si>
  <si>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</si>
  <si>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</si>
  <si>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</si>
  <si>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</si>
  <si>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</si>
  <si>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</si>
  <si>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</si>
  <si>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</si>
  <si>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</si>
  <si>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</si>
  <si>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</si>
  <si>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</si>
  <si>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</si>
  <si>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</si>
  <si>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</si>
  <si>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</si>
  <si>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</si>
  <si>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</si>
  <si>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</si>
  <si>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</si>
  <si>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</si>
  <si>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</si>
  <si>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</si>
  <si>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</si>
  <si>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</si>
  <si>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</si>
  <si>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</si>
  <si>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</si>
  <si>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</si>
  <si>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</si>
  <si>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</si>
  <si>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</si>
  <si>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</si>
  <si>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</si>
  <si>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</si>
  <si>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</si>
  <si>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</si>
  <si>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</si>
  <si>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</si>
  <si>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</si>
  <si>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</si>
  <si>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</si>
  <si>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</si>
  <si>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</si>
  <si>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</si>
  <si>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</si>
  <si>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</si>
  <si>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</si>
  <si>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</si>
  <si>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</si>
  <si>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</si>
  <si>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</si>
  <si>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</si>
  <si>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</si>
  <si>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</si>
  <si>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</si>
  <si>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</si>
  <si>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</si>
  <si>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</si>
  <si>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</si>
  <si>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</si>
  <si>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</si>
  <si>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</si>
  <si>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</si>
  <si>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</si>
  <si>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</si>
  <si>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</si>
  <si>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</si>
  <si>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</si>
  <si>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</si>
  <si>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</si>
  <si>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</si>
  <si>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</si>
  <si>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</si>
  <si>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</si>
  <si>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</si>
  <si>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</si>
  <si>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</si>
  <si>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</si>
  <si>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</si>
  <si>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</si>
  <si>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</si>
  <si>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</si>
  <si>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</si>
  <si>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</si>
  <si>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</si>
  <si>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</si>
  <si>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</si>
  <si>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</si>
  <si>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</si>
  <si>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</si>
  <si>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</si>
  <si>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</si>
  <si>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</si>
  <si>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</si>
  <si>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</si>
  <si>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</si>
  <si>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</si>
  <si>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</si>
  <si>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</si>
  <si>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</si>
  <si>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</si>
  <si>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</si>
  <si>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</si>
  <si>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</si>
  <si>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</si>
  <si>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</si>
  <si>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</si>
  <si>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</si>
  <si>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</si>
  <si>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</si>
  <si>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</si>
  <si>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</si>
  <si>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</si>
  <si>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</si>
  <si>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</si>
  <si>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</si>
  <si>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</si>
  <si>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</si>
  <si>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</si>
  <si>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</si>
  <si>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</si>
  <si>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</si>
  <si>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</si>
  <si>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</si>
  <si>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</si>
  <si>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</si>
  <si>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</si>
  <si>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</si>
  <si>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</si>
  <si>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</si>
  <si>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</si>
  <si>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</si>
  <si>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</si>
  <si>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</si>
  <si>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</si>
  <si>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</si>
  <si>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</si>
  <si>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</si>
  <si>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</si>
  <si>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</si>
  <si>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</si>
  <si>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</si>
  <si>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</si>
  <si>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</si>
  <si>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</si>
  <si>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</si>
  <si>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</si>
  <si>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</si>
  <si>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</si>
  <si>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</si>
  <si>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</si>
  <si>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</si>
  <si>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</si>
  <si>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</si>
  <si>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</si>
  <si>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</si>
  <si>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</si>
  <si>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</si>
  <si>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</si>
  <si>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</si>
  <si>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</si>
  <si>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</si>
  <si>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</si>
  <si>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</si>
  <si>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</si>
  <si>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</si>
  <si>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</si>
  <si>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</si>
  <si>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</si>
  <si>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</si>
  <si>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</si>
  <si>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</si>
  <si>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</si>
  <si>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</si>
  <si>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</si>
  <si>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</si>
  <si>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</si>
  <si>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</si>
  <si>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</si>
  <si>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</si>
  <si>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</si>
  <si>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</si>
  <si>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</si>
  <si>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</si>
  <si>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</si>
  <si>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</si>
  <si>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</si>
  <si>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</si>
  <si>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</si>
  <si>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</si>
  <si>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</si>
  <si>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</si>
  <si>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</si>
  <si>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</si>
  <si>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</si>
  <si>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</si>
  <si>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</si>
  <si>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</si>
  <si>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</si>
  <si>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</si>
  <si>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</si>
  <si>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</si>
  <si>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</si>
  <si>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</si>
  <si>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</si>
  <si>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</si>
  <si>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</si>
  <si>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</si>
  <si>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</si>
  <si>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</si>
  <si>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</si>
  <si>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</si>
  <si>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</si>
  <si>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</si>
  <si>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</si>
  <si>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</si>
  <si>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</si>
  <si>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</si>
  <si>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</si>
  <si>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</si>
  <si>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</si>
  <si>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</si>
  <si>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</si>
  <si>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</si>
  <si>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</si>
  <si>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</si>
  <si>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</si>
  <si>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</si>
  <si>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</si>
  <si>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</si>
  <si>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</si>
  <si>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</si>
  <si>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</si>
  <si>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</si>
  <si>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</si>
  <si>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</si>
  <si>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</si>
  <si>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</si>
  <si>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</si>
  <si>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</si>
  <si>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</si>
  <si>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</si>
  <si>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</si>
  <si>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</si>
  <si>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</si>
  <si>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</si>
  <si>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</si>
  <si>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</si>
  <si>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</si>
  <si>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</si>
  <si>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</si>
  <si>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</si>
  <si>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</si>
  <si>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</si>
  <si>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</si>
  <si>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</si>
  <si>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</si>
  <si>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</si>
  <si>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</si>
  <si>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</si>
  <si>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</si>
  <si>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</si>
  <si>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</si>
  <si>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</si>
  <si>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</si>
  <si>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</si>
  <si>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</si>
  <si>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</si>
  <si>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</si>
  <si>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</si>
  <si>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</si>
  <si>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</si>
  <si>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</si>
  <si>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</si>
  <si>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</si>
  <si>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</si>
  <si>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</si>
  <si>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</si>
  <si>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</si>
  <si>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</si>
  <si>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</si>
  <si>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</si>
  <si>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</si>
  <si>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</si>
  <si>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</si>
  <si>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</si>
  <si>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</si>
  <si>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</si>
  <si>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</si>
  <si>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</si>
  <si>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</si>
  <si>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</si>
  <si>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</si>
  <si>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</si>
  <si>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</si>
  <si>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</si>
  <si>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</si>
  <si>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</si>
  <si>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</si>
  <si>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</si>
  <si>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</si>
  <si>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</si>
  <si>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</si>
  <si>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</si>
  <si>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</si>
  <si>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</si>
  <si>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</si>
  <si>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</si>
  <si>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</si>
  <si>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</si>
  <si>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</si>
  <si>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</si>
  <si>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</si>
  <si>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</si>
  <si>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</si>
  <si>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</si>
  <si>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</si>
  <si>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</si>
  <si>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</si>
  <si>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</si>
  <si>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</si>
  <si>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</si>
  <si>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</si>
  <si>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</si>
  <si>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</si>
  <si>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</si>
  <si>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</si>
  <si>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</si>
  <si>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</si>
  <si>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</si>
  <si>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</si>
  <si>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</si>
  <si>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</si>
  <si>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</si>
  <si>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</si>
  <si>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</si>
  <si>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</si>
  <si>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</si>
  <si>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</si>
  <si>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</si>
  <si>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</si>
  <si>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</si>
  <si>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</si>
  <si>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</si>
  <si>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</si>
  <si>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</si>
  <si>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</si>
  <si>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</si>
  <si>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</si>
  <si>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</si>
  <si>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</si>
  <si>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</si>
  <si>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</si>
  <si>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</si>
  <si>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</si>
  <si>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</si>
  <si>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</si>
  <si>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</si>
  <si>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</si>
  <si>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</si>
  <si>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</si>
  <si>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</si>
  <si>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</si>
  <si>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</si>
  <si>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</si>
  <si>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</si>
  <si>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</si>
  <si>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</si>
  <si>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</si>
  <si>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</si>
  <si>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</si>
  <si>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</si>
  <si>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</si>
  <si>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</si>
  <si>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</si>
  <si>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</si>
  <si>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</si>
  <si>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</si>
  <si>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</si>
  <si>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</si>
  <si>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</si>
  <si>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</si>
  <si>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</si>
  <si>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</si>
  <si>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</si>
  <si>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</si>
  <si>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</si>
  <si>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</si>
  <si>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</si>
  <si>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</si>
  <si>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</si>
  <si>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</si>
  <si>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</si>
  <si>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</si>
  <si>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</si>
  <si>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</si>
  <si>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</si>
  <si>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</si>
  <si>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</si>
  <si>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</si>
  <si>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</si>
  <si>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</si>
  <si>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</si>
  <si>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</si>
  <si>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</si>
  <si>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</si>
  <si>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</si>
  <si>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</si>
  <si>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</si>
  <si>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</si>
  <si>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</si>
  <si>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</si>
  <si>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</si>
  <si>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</si>
  <si>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</si>
  <si>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</si>
  <si>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</si>
  <si>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</si>
  <si>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</si>
  <si>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</si>
  <si>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</si>
  <si>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</si>
  <si>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</si>
  <si>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</si>
  <si>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</si>
  <si>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</si>
  <si>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</si>
  <si>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</si>
  <si>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</si>
  <si>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</si>
  <si>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</si>
  <si>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</si>
  <si>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</si>
  <si>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</si>
  <si>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</si>
  <si>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</si>
  <si>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</si>
  <si>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</si>
  <si>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</si>
  <si>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</si>
  <si>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</si>
  <si>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</si>
  <si>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</si>
  <si>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</si>
  <si>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</si>
  <si>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</si>
  <si>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</si>
  <si>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</si>
  <si>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</si>
  <si>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</si>
  <si>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</si>
  <si>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</si>
  <si>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</si>
  <si>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</si>
  <si>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</si>
  <si>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</si>
  <si>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</si>
  <si>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</si>
  <si>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</si>
  <si>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</si>
  <si>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</si>
  <si>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</si>
  <si>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</si>
  <si>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</si>
  <si>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</si>
  <si>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</si>
  <si>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</si>
  <si>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</si>
  <si>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</si>
  <si>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</si>
  <si>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</si>
  <si>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</si>
  <si>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</si>
  <si>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</si>
  <si>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</si>
  <si>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</si>
  <si>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</si>
  <si>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</si>
  <si>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</si>
  <si>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</si>
  <si>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</si>
  <si>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</si>
  <si>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</si>
  <si>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</si>
  <si>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</si>
  <si>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</si>
  <si>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</si>
  <si>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</si>
  <si>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</si>
  <si>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</si>
  <si>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</si>
  <si>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</si>
  <si>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</si>
  <si>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</si>
  <si>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</si>
  <si>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</si>
  <si>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</si>
  <si>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</si>
  <si>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</si>
  <si>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</si>
  <si>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</si>
  <si>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</si>
  <si>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</si>
  <si>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</si>
  <si>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</si>
  <si>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</si>
  <si>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</si>
  <si>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</si>
  <si>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</si>
  <si>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</si>
  <si>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</si>
  <si>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</si>
  <si>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</si>
  <si>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</si>
  <si>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</si>
  <si>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</si>
  <si>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</si>
  <si>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</si>
  <si>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</si>
  <si>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</si>
  <si>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</si>
  <si>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</si>
  <si>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</si>
  <si>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</si>
  <si>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</si>
  <si>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</si>
  <si>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</si>
  <si>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</si>
  <si>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</si>
  <si>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</si>
  <si>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</si>
  <si>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</si>
  <si>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</si>
  <si>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</si>
  <si>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</si>
  <si>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</si>
  <si>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</si>
  <si>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</si>
  <si>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</si>
  <si>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</si>
  <si>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</si>
  <si>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</si>
  <si>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</si>
  <si>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</si>
  <si>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</si>
  <si>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</si>
  <si>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</si>
  <si>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</si>
  <si>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</si>
  <si>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</si>
  <si>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</si>
  <si>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</si>
  <si>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</si>
  <si>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</si>
  <si>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</si>
  <si>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</si>
  <si>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</si>
  <si>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</si>
  <si>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</si>
  <si>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</si>
  <si>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</si>
  <si>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</si>
  <si>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</si>
  <si>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</si>
  <si>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</si>
  <si>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</si>
  <si>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</si>
  <si>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</si>
  <si>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</si>
  <si>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</si>
  <si>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</si>
  <si>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</si>
  <si>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</si>
  <si>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</si>
  <si>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</si>
  <si>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</si>
  <si>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</si>
  <si>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</si>
  <si>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</si>
  <si>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</si>
  <si>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</si>
  <si>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</si>
  <si>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</si>
  <si>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</si>
  <si>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</si>
  <si>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</si>
  <si>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</si>
  <si>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</si>
  <si>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</si>
  <si>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</si>
  <si>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</si>
  <si>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</si>
  <si>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</si>
  <si>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</si>
  <si>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</si>
  <si>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</si>
  <si>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</si>
  <si>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</si>
  <si>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</si>
  <si>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</si>
  <si>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</si>
  <si>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</si>
  <si>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</si>
  <si>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</si>
  <si>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</si>
  <si>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</si>
  <si>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</si>
  <si>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</si>
  <si>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</si>
  <si>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</si>
  <si>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</si>
  <si>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</si>
  <si>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</si>
  <si>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</si>
  <si>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</si>
  <si>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</si>
  <si>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</si>
  <si>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</si>
  <si>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</si>
  <si>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</si>
  <si>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</si>
  <si>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</si>
  <si>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</si>
  <si>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</si>
  <si>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</si>
  <si>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</si>
  <si>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</si>
  <si>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</si>
  <si>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</si>
  <si>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</si>
  <si>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</si>
  <si>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</si>
  <si>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</si>
  <si>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</si>
  <si>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</si>
  <si>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</si>
  <si>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</si>
  <si>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</si>
  <si>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</si>
  <si>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</si>
  <si>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</si>
  <si>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</si>
  <si>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</si>
  <si>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</si>
  <si>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</si>
  <si>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</si>
  <si>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</si>
  <si>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</si>
  <si>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</si>
  <si>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</si>
  <si>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</si>
  <si>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</si>
  <si>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</si>
  <si>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</si>
  <si>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</si>
  <si>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</si>
  <si>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</si>
  <si>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</si>
  <si>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</si>
  <si>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</si>
  <si>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</si>
  <si>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</si>
  <si>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</si>
  <si>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</si>
  <si>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</si>
  <si>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</si>
  <si>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</si>
  <si>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</si>
  <si>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</si>
  <si>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</si>
  <si>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</si>
  <si>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</si>
  <si>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</si>
  <si>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</si>
  <si>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</si>
  <si>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</si>
  <si>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</si>
  <si>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</si>
  <si>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</si>
  <si>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</si>
  <si>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</si>
  <si>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</si>
  <si>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</si>
  <si>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</si>
  <si>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</si>
  <si>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</si>
  <si>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</si>
  <si>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</si>
  <si>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</si>
  <si>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</si>
  <si>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</si>
  <si>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</si>
  <si>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</si>
  <si>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</si>
  <si>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</si>
  <si>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</si>
  <si>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</si>
  <si>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</si>
  <si>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</si>
  <si>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</si>
  <si>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</si>
  <si>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</si>
  <si>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</si>
  <si>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</si>
  <si>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</si>
  <si>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</si>
  <si>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</si>
  <si>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</si>
  <si>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</si>
  <si>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</si>
  <si>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</si>
  <si>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</si>
  <si>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</si>
  <si>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</si>
  <si>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</si>
  <si>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</si>
  <si>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</si>
  <si>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</si>
  <si>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</si>
  <si>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</si>
  <si>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</si>
  <si>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</si>
  <si>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</si>
  <si>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</si>
  <si>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</si>
  <si>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</si>
  <si>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</si>
  <si>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</si>
  <si>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</si>
  <si>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</si>
  <si>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</si>
  <si>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</si>
  <si>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</si>
  <si>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</si>
  <si>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</si>
  <si>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</si>
  <si>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</si>
  <si>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</si>
  <si>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</si>
  <si>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</si>
  <si>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</si>
  <si>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</si>
  <si>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</si>
  <si>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</si>
  <si>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</si>
  <si>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</si>
  <si>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</si>
  <si>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</si>
  <si>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</si>
  <si>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</si>
  <si>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</si>
  <si>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</si>
  <si>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</si>
  <si>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</si>
  <si>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</si>
  <si>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</si>
  <si>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</si>
  <si>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</si>
  <si>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</si>
  <si>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</si>
  <si>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</si>
  <si>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</si>
  <si>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</si>
  <si>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</si>
  <si>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</si>
  <si>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</si>
  <si>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</si>
  <si>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</si>
  <si>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</si>
  <si>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</si>
  <si>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</si>
  <si>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</si>
  <si>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</si>
  <si>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</si>
  <si>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</si>
  <si>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</si>
  <si>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</si>
  <si>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</si>
  <si>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</si>
  <si>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</si>
  <si>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</si>
  <si>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</si>
  <si>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</si>
  <si>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</si>
  <si>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</si>
  <si>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</si>
  <si>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</si>
  <si>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</si>
  <si>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</si>
  <si>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</si>
  <si>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</si>
  <si>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</si>
  <si>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</si>
  <si>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</si>
  <si>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</si>
  <si>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</si>
  <si>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</si>
  <si>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</si>
  <si>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</si>
  <si>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</si>
  <si>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</si>
  <si>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</si>
  <si>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</si>
  <si>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</si>
  <si>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</si>
  <si>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</si>
  <si>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</si>
  <si>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</si>
  <si>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</si>
  <si>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</si>
  <si>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</si>
  <si>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</si>
  <si>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</si>
  <si>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</si>
  <si>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</si>
  <si>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</si>
  <si>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</si>
  <si>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</si>
  <si>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</si>
  <si>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</si>
  <si>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</si>
  <si>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</si>
  <si>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</si>
  <si>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</si>
  <si>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</si>
  <si>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</si>
  <si>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</si>
  <si>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</si>
  <si>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</si>
  <si>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</si>
  <si>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</si>
  <si>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</si>
  <si>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</si>
  <si>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</si>
  <si>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</si>
  <si>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</si>
  <si>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</si>
  <si>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</si>
  <si>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</si>
  <si>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</si>
  <si>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</si>
  <si>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</si>
  <si>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</si>
  <si>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</si>
  <si>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</si>
  <si>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</si>
  <si>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</si>
  <si>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</si>
  <si>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</si>
  <si>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</si>
  <si>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</si>
  <si>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</si>
  <si>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</si>
  <si>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</si>
  <si>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</si>
  <si>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</si>
  <si>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</si>
  <si>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</si>
  <si>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</si>
  <si>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</si>
  <si>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</si>
  <si>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</si>
  <si>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</si>
  <si>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</si>
  <si>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</si>
  <si>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</si>
  <si>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</si>
  <si>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</si>
  <si>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</si>
  <si>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</si>
  <si>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</si>
  <si>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</si>
  <si>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</si>
  <si>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</si>
  <si>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</si>
  <si>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</si>
  <si>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</si>
  <si>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</si>
  <si>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</si>
  <si>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</si>
  <si>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</si>
  <si>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</si>
  <si>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</si>
  <si>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</si>
  <si>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</si>
  <si>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</si>
  <si>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</si>
  <si>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</si>
  <si>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</si>
  <si>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</si>
  <si>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</si>
  <si>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</si>
  <si>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</si>
  <si>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</si>
  <si>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</si>
  <si>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</si>
  <si>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</si>
  <si>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</si>
  <si>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</si>
  <si>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</si>
  <si>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</si>
  <si>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</si>
  <si>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</si>
  <si>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</si>
  <si>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</si>
  <si>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</si>
  <si>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</si>
  <si>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</si>
  <si>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</si>
  <si>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</si>
  <si>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</si>
  <si>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</si>
  <si>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</si>
  <si>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</si>
  <si>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</si>
  <si>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</si>
  <si>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</si>
  <si>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</si>
  <si>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</si>
  <si>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</si>
  <si>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</si>
  <si>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</si>
  <si>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</si>
  <si>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</si>
  <si>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</si>
  <si>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</si>
  <si>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</si>
  <si>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</si>
  <si>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</si>
  <si>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</si>
  <si>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</si>
  <si>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</si>
  <si>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</si>
  <si>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</si>
  <si>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</si>
  <si>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</si>
  <si>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</si>
  <si>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</si>
  <si>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</si>
  <si>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</si>
  <si>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</si>
  <si>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</si>
  <si>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</si>
  <si>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</si>
  <si>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</si>
  <si>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</si>
  <si>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</si>
  <si>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</si>
  <si>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</si>
  <si>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</si>
  <si>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</si>
  <si>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</si>
  <si>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</si>
  <si>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</si>
  <si>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</si>
  <si>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</si>
  <si>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</si>
  <si>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</si>
  <si>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</si>
  <si>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</si>
  <si>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</si>
  <si>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</si>
  <si>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</si>
  <si>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</si>
  <si>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</si>
  <si>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</si>
  <si>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</si>
  <si>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</si>
  <si>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</si>
  <si>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</si>
  <si>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</si>
  <si>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</si>
  <si>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</si>
  <si>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北京市国通资产管理有限公司</t>
    <phoneticPr fontId="6" type="noConversion"/>
  </si>
  <si>
    <t>北京农商银行</t>
    <phoneticPr fontId="6" type="noConversion"/>
  </si>
  <si>
    <t>抵押</t>
  </si>
  <si>
    <t>房地产抵押价值</t>
  </si>
  <si>
    <t>北京市</t>
  </si>
  <si>
    <r>
      <rPr>
        <sz val="12"/>
        <color theme="9" tint="-0.249977111117893"/>
        <rFont val="宋体"/>
        <family val="3"/>
        <charset val="134"/>
      </rPr>
      <t>丰台区右安门外玉林里</t>
    </r>
    <r>
      <rPr>
        <sz val="12"/>
        <color theme="9" tint="-0.249977111117893"/>
        <rFont val="Arial"/>
        <family val="2"/>
      </rPr>
      <t>45</t>
    </r>
    <r>
      <rPr>
        <sz val="12"/>
        <color theme="9" tint="-0.249977111117893"/>
        <rFont val="宋体"/>
        <family val="3"/>
        <charset val="134"/>
      </rPr>
      <t>号楼</t>
    </r>
    <phoneticPr fontId="6" type="noConversion"/>
  </si>
  <si>
    <t>企业</t>
  </si>
  <si>
    <t>出让</t>
  </si>
  <si>
    <t>综合楼</t>
    <phoneticPr fontId="6" type="noConversion"/>
  </si>
  <si>
    <t>通路</t>
  </si>
  <si>
    <t>通电</t>
  </si>
  <si>
    <t>通讯</t>
  </si>
  <si>
    <t>通上水</t>
  </si>
  <si>
    <t>通下水</t>
  </si>
  <si>
    <t>通热</t>
  </si>
  <si>
    <t>现房</t>
  </si>
  <si>
    <r>
      <t>216</t>
    </r>
    <r>
      <rPr>
        <sz val="10"/>
        <color indexed="8"/>
        <rFont val="宋体"/>
        <family val="3"/>
        <charset val="134"/>
      </rPr>
      <t>号</t>
    </r>
    <phoneticPr fontId="3" type="noConversion"/>
  </si>
  <si>
    <t>地上</t>
  </si>
  <si>
    <t>办公楼</t>
  </si>
  <si>
    <r>
      <t>3-4</t>
    </r>
    <r>
      <rPr>
        <sz val="10"/>
        <color indexed="8"/>
        <rFont val="宋体"/>
        <family val="3"/>
        <charset val="134"/>
      </rPr>
      <t>层</t>
    </r>
    <phoneticPr fontId="3" type="noConversion"/>
  </si>
  <si>
    <t>B1</t>
    <phoneticPr fontId="3" type="noConversion"/>
  </si>
  <si>
    <t>B2</t>
    <phoneticPr fontId="3" type="noConversion"/>
  </si>
  <si>
    <t>是</t>
  </si>
  <si>
    <t>办公</t>
    <phoneticPr fontId="7" type="noConversion"/>
  </si>
  <si>
    <t>成新度</t>
  </si>
  <si>
    <t>收益法</t>
  </si>
  <si>
    <t>商务金融用地（办公类）</t>
  </si>
  <si>
    <t>估价对象容积率</t>
  </si>
  <si>
    <t>六通一平</t>
  </si>
  <si>
    <t>缺少</t>
  </si>
  <si>
    <t>容积率修正</t>
  </si>
  <si>
    <t>地价指数</t>
  </si>
  <si>
    <t>一般</t>
  </si>
  <si>
    <t>较差</t>
  </si>
  <si>
    <t>较好</t>
  </si>
  <si>
    <t>押一</t>
  </si>
  <si>
    <t>按租金收入计税</t>
  </si>
  <si>
    <t>砖混</t>
  </si>
  <si>
    <t>非生产用房</t>
  </si>
  <si>
    <t>未包含在土地购买价格中</t>
  </si>
  <si>
    <t>全部缴纳</t>
  </si>
  <si>
    <t>已包含在土地取得成本中</t>
  </si>
  <si>
    <t>成本比率</t>
  </si>
  <si>
    <t>成本法</t>
  </si>
  <si>
    <t>项目全部</t>
  </si>
  <si>
    <t>地下</t>
  </si>
  <si>
    <t>建筑面积</t>
  </si>
  <si>
    <t>土地面积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</si>
</sst>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77" fontId="148" fillId="3" borderId="3" xfId="0" applyNumberFormat="1"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370438</xdr:colOff>
      <xdr:row>39</xdr:row>
      <xdr:rowOff>162918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95238" cy="72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6" customWidth="1"/>
    <col min="2" max="2" width="81" style="1603" customWidth="1"/>
    <col min="3" max="16384" width="9" style="1601"/>
  </cols>
  <sheetData>
    <row r="1" spans="1:2" s="1589" customFormat="1" ht="16.2" thickBot="1">
      <c r="A1" s="1588" t="s">
        <v>1219</v>
      </c>
      <c r="B1" s="1587" t="s">
        <v>1298</v>
      </c>
    </row>
    <row r="2" spans="1:2" s="1592" customFormat="1" ht="16.2" thickTop="1">
      <c r="A2" s="1590" t="s">
        <v>1220</v>
      </c>
      <c r="B2" s="1591" t="str">
        <f>'预评函-封皮'!B37:I37</f>
        <v>北京市丰台区右安门外玉林里45号楼房地产抵押价值预评估</v>
      </c>
    </row>
    <row r="3" spans="1:2" s="1595" customFormat="1">
      <c r="A3" s="1593" t="s">
        <v>1221</v>
      </c>
      <c r="B3" s="1594" t="str">
        <f>'预评函-封皮'!B40</f>
        <v>北京市国通资产管理有限公司</v>
      </c>
    </row>
    <row r="4" spans="1:2" s="1595" customFormat="1">
      <c r="A4" s="1593" t="s">
        <v>1222</v>
      </c>
      <c r="B4" s="1594" t="str">
        <f>'预评函-封皮'!B46</f>
        <v>（注册号：0)、（注册号：0)</v>
      </c>
    </row>
    <row r="5" spans="1:2" s="1589" customFormat="1" ht="16.2" thickBot="1">
      <c r="A5" s="1596" t="s">
        <v>1223</v>
      </c>
      <c r="B5" s="1597" t="str">
        <f>'预评函-封皮'!B49</f>
        <v>康正预评字号</v>
      </c>
    </row>
    <row r="6" spans="1:2" s="1592" customFormat="1" ht="16.2" thickTop="1">
      <c r="A6" s="1590" t="s">
        <v>1224</v>
      </c>
      <c r="B6" s="1591" t="str">
        <f>'预评函-1'!A4</f>
        <v>受贵公司委托，我公司对北京市丰台区右安门外玉林里45号楼房地产抵押价值进行了预评估。</v>
      </c>
    </row>
    <row r="7" spans="1:2" s="1595" customFormat="1">
      <c r="A7" s="1593" t="s">
        <v>1264</v>
      </c>
      <c r="B7" s="1594" t="str">
        <f>'预评函-1'!A7</f>
        <v>估价对象为北京市丰台区右安门外玉林里45号楼房地产，为北京市国通资产管理有限公司所有。根据《国有土地使用证》[]，估价对象（分摊）出让国有建设用地使用权面积为1742.42平方米。根据《房屋所有权证》[]、《测绘报告》[]，估价对象建筑面积为7727.4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丰台区右安门外玉林里45号楼房地产,为北京市国通资产管理有限公司开发建设的，该项目尚在开发建设中。根据《国有土地使用证》[]，估价对象（分摊）出让国有建设用地使用权面积为1742.42平方米。根据《房屋所有权证》[]、《测绘报告》[]，估价对象规划建筑面积为7727.4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为估价委托人在向北京农商银行办理贷款手续过程中，确定房地产抵押贷款额度提供参考依据而评估房地产抵押价值。</v>
      </c>
    </row>
    <row r="12" spans="1:2" s="1595" customFormat="1">
      <c r="A12" s="1593" t="s">
        <v>1226</v>
      </c>
      <c r="B12" s="1594" t="str">
        <f>'预评函-1'!A15</f>
        <v>2018年6月18日（评估专业人员实地查勘之日）</v>
      </c>
    </row>
    <row r="13" spans="1:2" s="1595" customFormat="1">
      <c r="A13" s="1593" t="s">
        <v>1227</v>
      </c>
      <c r="B13" s="1594" t="str">
        <f>'预评函-1'!A18</f>
        <v>本次估价的“房地产价值”是指在正常市场情况下，在价值时点2018年6月18日，估价对象规划用途为综合楼，土地取得方式为出让，出让国有建设用地使用权剩余土地使用年限为26.43，假定未设立法定优先受偿款下的房地产市场价值。</v>
      </c>
    </row>
    <row r="14" spans="1:2" s="1595" customFormat="1">
      <c r="A14" s="1593" t="s">
        <v>1228</v>
      </c>
      <c r="B14" s="1594" t="str">
        <f>'预评函-1'!A19</f>
        <v>其中，“出让国有建设用地使用权价值”是指估价对象用途为综合楼，实际开发程度为宗地红线外“七通”（即通路、通电、通讯、通上水、通下水、通热、）、红线内场地平整条件下，剩余土地使用年限为26.43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6.2" thickBot="1">
      <c r="A18" s="1596" t="s">
        <v>1232</v>
      </c>
      <c r="B18" s="1597" t="str">
        <f>'预评函-1'!A24</f>
        <v>本次评估采用的主估价方法为成本法和收益法。</v>
      </c>
    </row>
    <row r="19" spans="1:2" s="1592" customFormat="1" ht="16.2"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14021</v>
      </c>
    </row>
    <row r="21" spans="1:2" s="1595" customFormat="1">
      <c r="A21" s="1593" t="s">
        <v>1235</v>
      </c>
      <c r="B21" s="1594">
        <f ca="1">'预评函-2'!D7</f>
        <v>18145</v>
      </c>
    </row>
    <row r="22" spans="1:2" s="1595" customFormat="1">
      <c r="A22" s="1593" t="s">
        <v>1236</v>
      </c>
      <c r="B22" s="1594" t="str">
        <f ca="1">'预评函-2'!D6</f>
        <v>壹亿肆仟零贰拾壹万元整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14021</v>
      </c>
    </row>
    <row r="31" spans="1:2" s="1595" customFormat="1">
      <c r="A31" s="1593" t="s">
        <v>1274</v>
      </c>
      <c r="B31" s="1594">
        <f ca="1">'预评函-2'!D15</f>
        <v>18145</v>
      </c>
    </row>
    <row r="32" spans="1:2" s="1595" customFormat="1">
      <c r="A32" s="1593" t="s">
        <v>1241</v>
      </c>
      <c r="B32" s="1594" t="str">
        <f ca="1">'预评函-2'!D14</f>
        <v>壹亿肆仟零贰拾壹万元整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北京市丰台区右安门外玉林里45号楼房地产</v>
      </c>
    </row>
    <row r="42" spans="1:2" s="1595" customFormat="1" ht="31.2">
      <c r="A42" s="1593" t="s">
        <v>1288</v>
      </c>
      <c r="B42" s="1594" t="str">
        <f>'预评函-3'!B2</f>
        <v>建筑面积</v>
      </c>
    </row>
    <row r="43" spans="1:2" s="1595" customFormat="1">
      <c r="A43" s="1593" t="s">
        <v>1289</v>
      </c>
      <c r="B43" s="1594">
        <f>'预评函-3'!B4</f>
        <v>7727.4000000000015</v>
      </c>
    </row>
    <row r="44" spans="1:2" s="1595" customFormat="1" ht="31.2">
      <c r="A44" s="1593" t="s">
        <v>1273</v>
      </c>
      <c r="B44" s="1594" t="str">
        <f>'预评函-3'!C2</f>
        <v>(分摊)土地面积</v>
      </c>
    </row>
    <row r="45" spans="1:2" s="1595" customFormat="1">
      <c r="A45" s="1593" t="s">
        <v>1245</v>
      </c>
      <c r="B45" s="1594">
        <f>'预评函-3'!C4</f>
        <v>1742.42</v>
      </c>
    </row>
    <row r="46" spans="1:2" s="1595" customFormat="1">
      <c r="A46" s="1593" t="s">
        <v>1271</v>
      </c>
      <c r="B46" s="1594" t="str">
        <f>'预评函-3'!D2</f>
        <v>出让国有建设用地使用权价值</v>
      </c>
    </row>
    <row r="47" spans="1:2" s="1595" customFormat="1">
      <c r="A47" s="1593" t="s">
        <v>1246</v>
      </c>
      <c r="B47" s="1594">
        <f ca="1">'预评函-3'!D4</f>
        <v>11834</v>
      </c>
    </row>
    <row r="48" spans="1:2" s="1595" customFormat="1">
      <c r="A48" s="1593" t="s">
        <v>1247</v>
      </c>
      <c r="B48" s="1594">
        <f ca="1">'预评函-3'!E4</f>
        <v>15315</v>
      </c>
    </row>
    <row r="49" spans="1:2" s="1595" customFormat="1">
      <c r="A49" s="1593" t="s">
        <v>1248</v>
      </c>
      <c r="B49" s="1594" t="str">
        <f ca="1">'预评函-3'!D5</f>
        <v>壹亿壹仟捌佰叁拾肆万元整</v>
      </c>
    </row>
    <row r="50" spans="1:2" s="1595" customFormat="1">
      <c r="A50" s="1593" t="s">
        <v>1272</v>
      </c>
      <c r="B50" s="1594" t="str">
        <f>'预评函-3'!F2</f>
        <v>在建建筑物价值</v>
      </c>
    </row>
    <row r="51" spans="1:2" s="1595" customFormat="1">
      <c r="A51" s="1593" t="s">
        <v>1249</v>
      </c>
      <c r="B51" s="1594">
        <f ca="1">'预评函-3'!F4</f>
        <v>2187</v>
      </c>
    </row>
    <row r="52" spans="1:2" s="1595" customFormat="1">
      <c r="A52" s="1593" t="s">
        <v>1250</v>
      </c>
      <c r="B52" s="1594">
        <f ca="1">'预评函-3'!G4</f>
        <v>2830</v>
      </c>
    </row>
    <row r="53" spans="1:2" s="1595" customFormat="1">
      <c r="A53" s="1593" t="s">
        <v>1278</v>
      </c>
      <c r="B53" s="1594" t="str">
        <f ca="1">'预评函-3'!F5</f>
        <v>贰仟壹佰捌拾柒万元整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6.2" thickBot="1">
      <c r="A57" s="1596" t="s">
        <v>1297</v>
      </c>
      <c r="B57" s="1597" t="str">
        <f>'预评函-3'!A6</f>
        <v>估价师知悉的法定优先受偿款</v>
      </c>
    </row>
    <row r="58" spans="1:2" s="1592" customFormat="1" ht="16.2"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6.2" thickBot="1">
      <c r="A69" s="1596" t="s">
        <v>1259</v>
      </c>
      <c r="B69" s="1598">
        <f>'预评函-4'!C31</f>
        <v>42551</v>
      </c>
    </row>
    <row r="70" spans="1:2" ht="16.2" thickTop="1">
      <c r="A70" s="1599" t="s">
        <v>1260</v>
      </c>
      <c r="B70" s="1600">
        <f>'预评函-4'!A4</f>
        <v>0</v>
      </c>
    </row>
    <row r="71" spans="1:2">
      <c r="A71" s="1593" t="s">
        <v>1261</v>
      </c>
      <c r="B71" s="1594">
        <f>'预评函-4'!B4</f>
        <v>0</v>
      </c>
    </row>
    <row r="72" spans="1:2">
      <c r="A72" s="1593" t="s">
        <v>1262</v>
      </c>
      <c r="B72" s="1602">
        <f>'预评函-4'!A5</f>
        <v>0</v>
      </c>
    </row>
    <row r="73" spans="1:2" s="1589" customFormat="1" ht="16.2" thickBot="1">
      <c r="A73" s="1596" t="s">
        <v>1263</v>
      </c>
      <c r="B73" s="1597">
        <f>'预评函-4'!B5</f>
        <v>0</v>
      </c>
    </row>
    <row r="74" spans="1:2" ht="16.2"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6" customWidth="1"/>
    <col min="2" max="2" width="23.21875" style="1977" customWidth="1"/>
    <col min="3" max="3" width="13" style="2021" hidden="1" customWidth="1"/>
    <col min="4" max="4" width="5.77734375" style="2018" hidden="1" customWidth="1"/>
    <col min="5" max="5" width="7.109375" style="2018" hidden="1" customWidth="1"/>
    <col min="6" max="6" width="10.6640625" style="2018" hidden="1" customWidth="1"/>
    <col min="7" max="7" width="7.44140625" style="2018" hidden="1" customWidth="1"/>
    <col min="8" max="8" width="9" style="2021" hidden="1" customWidth="1"/>
    <col min="9" max="9" width="11.6640625" style="2021" hidden="1" customWidth="1"/>
    <col min="10" max="10" width="9" style="2021" hidden="1" customWidth="1"/>
    <col min="11" max="19" width="9" style="2018" hidden="1" customWidth="1"/>
    <col min="20" max="22" width="9" style="2021" hidden="1" customWidth="1"/>
    <col min="23" max="23" width="9" style="2021" customWidth="1"/>
    <col min="24" max="24" width="21.109375" style="1977" customWidth="1"/>
    <col min="25" max="16384" width="9" style="1977"/>
  </cols>
  <sheetData>
    <row r="1" spans="1:23" s="2015" customFormat="1" ht="28.8">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为估价委托人在向北京农商银行办理贷款手续过程中，确定房地产抵押贷款额度提供参考依据而评估房地产抵押价值。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国通资产管理有限公司拟使用北京市丰台区右安门外玉林里45号楼房地产作为抵押担保物，向北京农商银行办理贷款手续。北京农商银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298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18日，估价对象规划用途为综合楼土地取得方式为出让，出让国有建设用地使用权剩余土地使用年限为XX年(多用途剩余年限尾数不同时，可只体现小数点后一位)，假定未设立法定优先受偿款下的房地产市场价值。</v>
      </c>
    </row>
    <row r="54" spans="1:4">
      <c r="A54" s="2989"/>
      <c r="B54" s="2024" t="s">
        <v>864</v>
      </c>
      <c r="C54" s="2021" t="s">
        <v>1281</v>
      </c>
    </row>
    <row r="55" spans="1:4">
      <c r="A55" s="2989"/>
      <c r="B55" s="2024" t="s">
        <v>865</v>
      </c>
      <c r="C55" s="2021" t="s">
        <v>1282</v>
      </c>
    </row>
    <row r="56" spans="1:4">
      <c r="A56" s="2989"/>
      <c r="B56" s="2024" t="s">
        <v>866</v>
      </c>
      <c r="C56" s="2021" t="s">
        <v>1286</v>
      </c>
    </row>
    <row r="57" spans="1:4">
      <c r="A57" s="298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8671875" style="2034" customWidth="1"/>
    <col min="2" max="2" width="12.6640625" style="2034" customWidth="1"/>
    <col min="3" max="3" width="11.44140625" style="2034" customWidth="1"/>
    <col min="4" max="4" width="12.6640625" style="2034" customWidth="1"/>
    <col min="5" max="6" width="10" style="2034" customWidth="1"/>
    <col min="7" max="7" width="10.77734375" style="2034" customWidth="1"/>
    <col min="8" max="8" width="10" style="2034" customWidth="1"/>
    <col min="9" max="9" width="11.10937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1776</v>
      </c>
      <c r="B1" s="2990" t="str">
        <f>IF(B10="北京市","北京市",C10)&amp;F10&amp;IF(结果表!G1="在建","出让国有建设用地使用权及在建建筑物",IF(结果表!G1="土地","出让国有建设用地使用权",))&amp;B9&amp;"预评估"</f>
        <v>北京市丰台区右安门外玉林里45号楼房地产抵押价值预评估</v>
      </c>
      <c r="C1" s="2991"/>
      <c r="D1" s="2991"/>
      <c r="E1" s="2991"/>
      <c r="F1" s="2991"/>
      <c r="G1" s="2991"/>
      <c r="H1" s="2991"/>
      <c r="I1" s="299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北京市丰台区右安门外玉林里45号楼房地产抵押价值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北京市丰台区右安门外玉林里45号楼房地产</v>
      </c>
    </row>
    <row r="3" spans="1:19" ht="18" customHeight="1">
      <c r="A3" s="2037" t="s">
        <v>1778</v>
      </c>
      <c r="B3" s="2038">
        <v>43269</v>
      </c>
      <c r="C3" s="2039" t="s">
        <v>1779</v>
      </c>
      <c r="D3" s="2038">
        <f>B3</f>
        <v>43269</v>
      </c>
      <c r="E3" s="2028"/>
      <c r="F3" s="2028"/>
      <c r="G3" s="2028"/>
      <c r="H3" s="2028"/>
      <c r="I3" s="2028"/>
      <c r="J3" s="2028"/>
      <c r="K3" s="2029"/>
      <c r="L3" s="2030"/>
      <c r="M3" s="2030"/>
      <c r="N3" s="2031"/>
      <c r="O3" s="2032"/>
      <c r="P3" s="2031"/>
      <c r="Q3" s="2031"/>
      <c r="R3" s="2031"/>
      <c r="S3" s="2033"/>
    </row>
    <row r="4" spans="1:19" ht="18" customHeight="1" thickBot="1">
      <c r="A4" s="2040" t="s">
        <v>1780</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3270" t="s">
        <v>3046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3271" t="s">
        <v>3047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北京市国通资产管理有限公司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3048</v>
      </c>
      <c r="C8" s="2056"/>
      <c r="D8" s="2993" t="s">
        <v>1785</v>
      </c>
      <c r="E8" s="2057" t="s">
        <v>3049</v>
      </c>
      <c r="F8" s="2058"/>
      <c r="G8" s="2028"/>
      <c r="H8" s="2028"/>
      <c r="I8" s="2028"/>
      <c r="J8" s="2044"/>
      <c r="K8" s="2045"/>
      <c r="L8" s="2030"/>
      <c r="M8" s="2030"/>
      <c r="N8" s="2031"/>
      <c r="O8" s="2032"/>
      <c r="P8" s="2031"/>
      <c r="Q8" s="2031"/>
      <c r="R8" s="2031"/>
    </row>
    <row r="9" spans="1:19" ht="18" customHeight="1" thickBot="1">
      <c r="A9" s="2042" t="s">
        <v>1786</v>
      </c>
      <c r="B9" s="2059" t="s">
        <v>3049</v>
      </c>
      <c r="C9" s="2060"/>
      <c r="D9" s="2994"/>
      <c r="E9" s="2059" t="s">
        <v>70</v>
      </c>
      <c r="F9" s="2061"/>
      <c r="G9" s="2062"/>
      <c r="H9" s="2062"/>
      <c r="I9" s="2062"/>
      <c r="J9" s="2044"/>
      <c r="K9" s="2054"/>
      <c r="L9" s="2030"/>
      <c r="M9" s="2030"/>
      <c r="N9" s="2031"/>
      <c r="O9" s="2032"/>
      <c r="P9" s="2031"/>
      <c r="Q9" s="2031"/>
      <c r="R9" s="2031"/>
    </row>
    <row r="10" spans="1:19" ht="18" customHeight="1" thickTop="1">
      <c r="A10" s="2063" t="s">
        <v>1787</v>
      </c>
      <c r="B10" s="2064" t="s">
        <v>3050</v>
      </c>
      <c r="C10" s="2065"/>
      <c r="D10" s="2048"/>
      <c r="E10" s="2066" t="s">
        <v>1788</v>
      </c>
      <c r="F10" s="2067" t="s">
        <v>3051</v>
      </c>
      <c r="G10" s="2068"/>
      <c r="H10" s="2069"/>
      <c r="I10" s="2048"/>
      <c r="J10" s="2044"/>
      <c r="K10" s="2054"/>
      <c r="L10" s="2030"/>
      <c r="M10" s="2030"/>
      <c r="N10" s="2031"/>
      <c r="O10" s="2032"/>
      <c r="P10" s="2031"/>
      <c r="Q10" s="2031"/>
      <c r="R10" s="2031"/>
    </row>
    <row r="11" spans="1:19" ht="18" customHeight="1">
      <c r="A11" s="2070" t="s">
        <v>1789</v>
      </c>
      <c r="B11" s="2071" t="s">
        <v>3052</v>
      </c>
      <c r="C11" s="2072" t="str">
        <f>B5</f>
        <v>北京市国通资产管理有限公司</v>
      </c>
      <c r="D11" s="2073"/>
      <c r="E11" s="2044"/>
      <c r="F11" s="2044"/>
      <c r="G11" s="2044"/>
      <c r="H11" s="2044"/>
      <c r="I11" s="2044"/>
      <c r="J11" s="2044"/>
      <c r="K11" s="2054"/>
      <c r="L11" s="2030"/>
      <c r="M11" s="2030"/>
      <c r="N11" s="2031"/>
      <c r="O11" s="2032"/>
      <c r="P11" s="2031"/>
      <c r="Q11" s="2031"/>
      <c r="R11" s="2031"/>
    </row>
    <row r="12" spans="1:19" ht="18" customHeight="1">
      <c r="A12" s="2074" t="s">
        <v>1790</v>
      </c>
      <c r="B12" s="2071" t="s">
        <v>3053</v>
      </c>
      <c r="C12" s="2075" t="s">
        <v>1791</v>
      </c>
      <c r="D12" s="2076" t="s">
        <v>1792</v>
      </c>
      <c r="E12" s="2076" t="s">
        <v>1793</v>
      </c>
      <c r="F12" s="2076" t="s">
        <v>1794</v>
      </c>
      <c r="G12" s="2076" t="s">
        <v>1795</v>
      </c>
      <c r="H12" s="2076" t="s">
        <v>1796</v>
      </c>
      <c r="I12" s="2076" t="s">
        <v>1797</v>
      </c>
      <c r="J12" s="2044"/>
      <c r="K12" s="2054"/>
      <c r="L12" s="2030"/>
      <c r="M12" s="2030"/>
      <c r="N12" s="2031"/>
      <c r="O12" s="2032"/>
      <c r="P12" s="2031"/>
      <c r="Q12" s="2031"/>
      <c r="R12" s="2031"/>
    </row>
    <row r="13" spans="1:19" ht="18" customHeight="1">
      <c r="A13" s="2077"/>
      <c r="B13" s="2078"/>
      <c r="C13" s="2079" t="s">
        <v>1798</v>
      </c>
      <c r="D13" s="2080"/>
      <c r="E13" s="2080"/>
      <c r="F13" s="2080">
        <v>52948</v>
      </c>
      <c r="G13" s="2080"/>
      <c r="H13" s="2080"/>
      <c r="I13" s="1050"/>
      <c r="J13" s="2044"/>
      <c r="K13" s="2054"/>
      <c r="L13" s="2030"/>
      <c r="M13" s="2030"/>
      <c r="N13" s="2031"/>
      <c r="O13" s="2032"/>
      <c r="P13" s="2031"/>
      <c r="Q13" s="2031"/>
      <c r="R13" s="2031"/>
    </row>
    <row r="14" spans="1:19" ht="18" customHeight="1">
      <c r="A14" s="2077"/>
      <c r="B14" s="2078"/>
      <c r="C14" s="2079" t="s">
        <v>1799</v>
      </c>
      <c r="D14" s="1053"/>
      <c r="E14" s="1053"/>
      <c r="F14" s="1053">
        <v>50</v>
      </c>
      <c r="G14" s="1053"/>
      <c r="H14" s="1053"/>
      <c r="I14" s="1053"/>
      <c r="J14" s="2044"/>
      <c r="K14" s="2081"/>
      <c r="L14" s="2030"/>
      <c r="M14" s="2030"/>
      <c r="N14" s="2031"/>
      <c r="O14" s="2032"/>
      <c r="P14" s="2031"/>
      <c r="Q14" s="2031"/>
      <c r="R14" s="2031"/>
    </row>
    <row r="15" spans="1:19" ht="18" customHeight="1">
      <c r="A15" s="2063"/>
      <c r="B15" s="2082"/>
      <c r="C15" s="2079" t="s">
        <v>1800</v>
      </c>
      <c r="D15" s="1052" t="str">
        <f>IF(B12="出让",IF(D13="","",ROUNDDOWN(MIN((D13-$D$3)/365,D14),2)),D14)</f>
        <v/>
      </c>
      <c r="E15" s="1052" t="str">
        <f>IF(B12="出让",IF(E13="","",ROUNDDOWN(MIN((E13-$D$3)/365,E14),2)),E14)</f>
        <v/>
      </c>
      <c r="F15" s="1052">
        <f>IF(B12="出让",IF(F13="","",ROUNDDOWN(MIN((F13-$D$3)/365,F14),2)),F14)</f>
        <v>26.51</v>
      </c>
      <c r="G15" s="1052" t="str">
        <f>IF(B12="出让",IF(G13="","",ROUNDDOWN(MIN((G13-$D$3)/365,G14),2)),G14)</f>
        <v/>
      </c>
      <c r="H15" s="1052" t="str">
        <f>IF(B12="出让",IF(H13="","",ROUNDDOWN(MIN((H13-$D$3)/365,H14),2)),H14)</f>
        <v/>
      </c>
      <c r="I15" s="1052" t="str">
        <f>IF(B12="出让",IF(I13="","",ROUNDDOWN(MIN((I13-$D$3)/365,I14),2)),I14)</f>
        <v/>
      </c>
      <c r="J15" s="2044"/>
      <c r="K15" s="2083"/>
      <c r="L15" s="2084"/>
      <c r="M15" s="2084"/>
      <c r="N15" s="2085"/>
      <c r="O15" s="2084"/>
      <c r="P15" s="2085"/>
      <c r="Q15" s="2031"/>
      <c r="R15" s="2031"/>
    </row>
    <row r="16" spans="1:19" ht="30.75" customHeight="1">
      <c r="A16" s="2066" t="s">
        <v>1801</v>
      </c>
      <c r="B16" s="3272" t="s">
        <v>3054</v>
      </c>
      <c r="C16" s="3000"/>
      <c r="D16" s="3001"/>
      <c r="E16" s="2086" t="s">
        <v>1802</v>
      </c>
      <c r="F16" s="3002">
        <v>26.43</v>
      </c>
      <c r="G16" s="3003"/>
      <c r="H16" s="3003"/>
      <c r="I16" s="3004"/>
      <c r="J16" s="2031"/>
      <c r="K16" s="2083"/>
      <c r="L16" s="2084"/>
      <c r="M16" s="2084"/>
      <c r="N16" s="2085"/>
      <c r="O16" s="2084"/>
      <c r="P16" s="2085"/>
      <c r="Q16" s="2031"/>
      <c r="R16" s="2031"/>
    </row>
    <row r="17" spans="1:22" ht="18" customHeight="1">
      <c r="A17" s="2087" t="s">
        <v>1803</v>
      </c>
      <c r="B17" s="2037" t="s">
        <v>1804</v>
      </c>
      <c r="C17" s="1057">
        <f>'数据-汇总表'!E3</f>
        <v>7727.4000000000015</v>
      </c>
      <c r="D17" s="2088" t="s">
        <v>1805</v>
      </c>
      <c r="E17" s="3005" t="s">
        <v>1806</v>
      </c>
      <c r="F17" s="3006"/>
      <c r="G17" s="3006"/>
      <c r="H17" s="3006"/>
      <c r="I17" s="3007"/>
      <c r="J17" s="2031"/>
      <c r="K17" s="2089"/>
      <c r="L17" s="2084"/>
      <c r="M17" s="2084"/>
      <c r="N17" s="2085"/>
      <c r="O17" s="2084"/>
      <c r="P17" s="2085"/>
      <c r="Q17" s="2031"/>
      <c r="R17" s="2031"/>
      <c r="S17" s="2031"/>
      <c r="T17" s="2031"/>
      <c r="U17" s="2031"/>
      <c r="V17" s="2031"/>
    </row>
    <row r="18" spans="1:22" ht="36" customHeight="1" thickBot="1">
      <c r="A18" s="2090" t="s">
        <v>70</v>
      </c>
      <c r="B18" s="2040" t="s">
        <v>1807</v>
      </c>
      <c r="C18" s="1446">
        <f>'数据-汇总表'!D3</f>
        <v>1742.42</v>
      </c>
      <c r="D18" s="2091" t="s">
        <v>1805</v>
      </c>
      <c r="E18" s="3008" t="s">
        <v>1808</v>
      </c>
      <c r="F18" s="3009"/>
      <c r="G18" s="3009"/>
      <c r="H18" s="3009"/>
      <c r="I18" s="3010"/>
      <c r="J18" s="2031"/>
      <c r="K18" s="2089"/>
      <c r="L18" s="2084"/>
      <c r="M18" s="2084"/>
      <c r="N18" s="2085"/>
      <c r="O18" s="2084"/>
      <c r="P18" s="2085"/>
      <c r="Q18" s="2031"/>
      <c r="R18" s="2031"/>
      <c r="S18" s="2031"/>
      <c r="T18" s="2031"/>
      <c r="U18" s="2031"/>
      <c r="V18" s="2031"/>
    </row>
    <row r="19" spans="1:22" ht="37.5" customHeight="1" thickTop="1" thickBot="1">
      <c r="A19" s="373" t="s">
        <v>1809</v>
      </c>
      <c r="B19" s="352" t="s">
        <v>1810</v>
      </c>
      <c r="C19" s="2092"/>
      <c r="D19" s="2093" t="s">
        <v>1811</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1812</v>
      </c>
      <c r="B20" s="2996" t="s">
        <v>1813</v>
      </c>
      <c r="C20" s="2997"/>
      <c r="D20" s="2998" t="s">
        <v>1814</v>
      </c>
      <c r="E20" s="2999"/>
      <c r="F20" s="2098" t="s">
        <v>1815</v>
      </c>
      <c r="G20" s="2044"/>
      <c r="H20" s="2044"/>
      <c r="I20" s="2044"/>
      <c r="J20" s="2044"/>
      <c r="K20" s="2995"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1817</v>
      </c>
      <c r="C21" s="2100" t="s">
        <v>1818</v>
      </c>
      <c r="D21" s="2101" t="s">
        <v>1819</v>
      </c>
      <c r="E21" s="2102" t="s">
        <v>1818</v>
      </c>
      <c r="F21" s="2103"/>
      <c r="G21" s="2044"/>
      <c r="H21" s="2044"/>
      <c r="I21" s="2044"/>
      <c r="J21" s="2044"/>
      <c r="K21" s="299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1820</v>
      </c>
      <c r="C22" s="2100" t="s">
        <v>1821</v>
      </c>
      <c r="D22" s="2028"/>
      <c r="E22" s="2028"/>
      <c r="F22" s="2105"/>
      <c r="G22" s="2044"/>
      <c r="H22" s="2044"/>
      <c r="I22" s="2044"/>
      <c r="J22" s="2044"/>
      <c r="K22" s="299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1822</v>
      </c>
      <c r="B23" s="183" t="s">
        <v>1823</v>
      </c>
      <c r="C23" s="2107"/>
      <c r="D23" s="2108" t="s">
        <v>1823</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1824</v>
      </c>
      <c r="C24" s="2112"/>
      <c r="D24" s="2106" t="s">
        <v>1824</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1825</v>
      </c>
      <c r="C25" s="2112"/>
      <c r="D25" s="2106" t="s">
        <v>1825</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1826</v>
      </c>
      <c r="C26" s="2116"/>
      <c r="D26" s="2117" t="s">
        <v>1827</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12" t="s">
        <v>1828</v>
      </c>
      <c r="B27" s="2063" t="s">
        <v>1829</v>
      </c>
      <c r="C27" s="2120"/>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12"/>
      <c r="B28" s="2037" t="s">
        <v>1830</v>
      </c>
      <c r="C28" s="2122"/>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12"/>
      <c r="B29" s="2037" t="s">
        <v>1831</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13"/>
      <c r="B30" s="2037" t="s">
        <v>1832</v>
      </c>
      <c r="C30" s="3014"/>
      <c r="D30" s="3015"/>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16" t="s">
        <v>1833</v>
      </c>
      <c r="B31" s="2127" t="s">
        <v>3061</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17"/>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17"/>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1834</v>
      </c>
      <c r="B34" s="2134" t="s">
        <v>3055</v>
      </c>
      <c r="C34" s="2134" t="s">
        <v>3056</v>
      </c>
      <c r="D34" s="2134" t="s">
        <v>3057</v>
      </c>
      <c r="E34" s="2134" t="s">
        <v>3058</v>
      </c>
      <c r="F34" s="2134" t="s">
        <v>3059</v>
      </c>
      <c r="G34" s="2134" t="s">
        <v>3060</v>
      </c>
      <c r="H34" s="2134"/>
      <c r="I34" s="2044"/>
      <c r="J34" s="2044"/>
      <c r="K34" s="1797">
        <f>COUNTIF(B34:H34,"——")</f>
        <v>0</v>
      </c>
      <c r="L34" s="2075" t="s">
        <v>1835</v>
      </c>
      <c r="M34" s="2075" t="s">
        <v>1836</v>
      </c>
      <c r="N34" s="2075" t="s">
        <v>1837</v>
      </c>
      <c r="O34" s="2075" t="s">
        <v>1838</v>
      </c>
      <c r="P34" s="2075" t="s">
        <v>1839</v>
      </c>
      <c r="Q34" s="2075" t="s">
        <v>1840</v>
      </c>
      <c r="R34" s="2075" t="s">
        <v>1841</v>
      </c>
      <c r="S34" s="3011" t="s">
        <v>1842</v>
      </c>
      <c r="T34" s="2135" t="str">
        <f>NUMBERSTRING(7-K34,1)&amp;"通"</f>
        <v>七通</v>
      </c>
      <c r="U34" s="2031"/>
      <c r="V34" s="2031"/>
    </row>
    <row r="35" spans="1:22" ht="18" customHeight="1">
      <c r="A35" s="2136"/>
      <c r="B35" s="3018" t="s">
        <v>1843</v>
      </c>
      <c r="C35" s="3018"/>
      <c r="D35" s="3018"/>
      <c r="E35" s="3018"/>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1"/>
      <c r="T35" s="48" t="str">
        <f>IF(T34="一通",L35,IF(T34="二通",M35,IF(T34="三通",N35,IF(T34="四通",O35,IF(T34="五通",P35,IF(T34="六通",Q35,R35))))))</f>
        <v>通路、通电、通讯、通上水、通下水、通热、</v>
      </c>
      <c r="U35" s="2031"/>
      <c r="V35" s="2031"/>
    </row>
    <row r="36" spans="1:22" ht="18" customHeight="1">
      <c r="A36" s="2138"/>
      <c r="B36" s="2137" t="s">
        <v>1844</v>
      </c>
      <c r="C36" s="2137" t="s">
        <v>1845</v>
      </c>
      <c r="D36" s="2137" t="s">
        <v>1846</v>
      </c>
      <c r="E36" s="2137" t="s">
        <v>1847</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1848</v>
      </c>
      <c r="B37" s="2141"/>
      <c r="C37" s="2141" t="s">
        <v>137</v>
      </c>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1849</v>
      </c>
      <c r="B38" s="2143"/>
      <c r="C38" s="2143" t="s">
        <v>273</v>
      </c>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1850</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1851</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1852</v>
      </c>
      <c r="B42" s="1797" t="s">
        <v>1853</v>
      </c>
      <c r="C42" s="1797" t="s">
        <v>1854</v>
      </c>
      <c r="D42" s="1797" t="s">
        <v>1855</v>
      </c>
      <c r="E42" s="1797" t="s">
        <v>1856</v>
      </c>
      <c r="F42" s="1797" t="s">
        <v>1857</v>
      </c>
      <c r="G42" s="1797" t="s">
        <v>1858</v>
      </c>
      <c r="H42" s="1797" t="s">
        <v>1859</v>
      </c>
      <c r="I42" s="1797" t="s">
        <v>1860</v>
      </c>
      <c r="J42" s="2153" t="s">
        <v>1861</v>
      </c>
      <c r="K42" s="2076" t="s">
        <v>1862</v>
      </c>
      <c r="L42" s="2076" t="s">
        <v>1863</v>
      </c>
      <c r="M42" s="2076" t="s">
        <v>1864</v>
      </c>
      <c r="N42" s="1797" t="s">
        <v>1865</v>
      </c>
      <c r="O42" s="1797" t="s">
        <v>1866</v>
      </c>
      <c r="P42" s="1797" t="s">
        <v>1867</v>
      </c>
      <c r="Q42" s="2075" t="s">
        <v>1868</v>
      </c>
      <c r="R42" s="2075" t="s">
        <v>1869</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4" width="9.44140625" style="2160" customWidth="1"/>
    <col min="15" max="15" width="9.88671875" style="2160" customWidth="1"/>
    <col min="16" max="16" width="9.77734375" style="2160" customWidth="1"/>
    <col min="17" max="17" width="9.33203125" style="2160" customWidth="1"/>
    <col min="18" max="18" width="9.21875" style="2160" customWidth="1"/>
    <col min="19" max="19" width="10.88671875" style="2160" customWidth="1"/>
    <col min="20" max="21" width="10.77734375" style="2160" customWidth="1"/>
    <col min="22" max="22" width="10.88671875" style="2160" customWidth="1"/>
    <col min="23" max="27" width="10.77734375" style="2160" customWidth="1"/>
    <col min="28" max="28" width="10.88671875" style="2160"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1870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1871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1872</v>
      </c>
      <c r="B2" s="11" t="s">
        <v>1873</v>
      </c>
      <c r="C2" s="11" t="s">
        <v>1874</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1875</v>
      </c>
      <c r="AZ2" s="1273" t="s">
        <v>1876</v>
      </c>
      <c r="BA2" s="11" t="s">
        <v>1877</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v>1742.42</v>
      </c>
      <c r="B3" s="14">
        <f>IF(C3="否",G5-AT5,G5)</f>
        <v>7727.4000000000015</v>
      </c>
      <c r="C3" s="2169" t="s">
        <v>3068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1878</v>
      </c>
      <c r="B5" s="1805"/>
      <c r="C5" s="1805"/>
      <c r="D5" s="1808"/>
      <c r="E5" s="16" t="s">
        <v>1</v>
      </c>
      <c r="F5" s="16">
        <f>SUM(F13:F587)</f>
        <v>0</v>
      </c>
      <c r="G5" s="16">
        <f>SUM(G13:G587)</f>
        <v>7727.4000000000015</v>
      </c>
      <c r="H5" s="16">
        <f t="shared" ref="H5:AT5" si="0">SUM(H13:H656)</f>
        <v>7727.4000000000015</v>
      </c>
      <c r="I5" s="16">
        <f t="shared" si="0"/>
        <v>4531.2000000000007</v>
      </c>
      <c r="J5" s="16">
        <f t="shared" si="0"/>
        <v>0</v>
      </c>
      <c r="K5" s="16">
        <f t="shared" si="0"/>
        <v>3196.2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7727.4000000000015</v>
      </c>
      <c r="BA5" s="18">
        <f t="shared" si="1"/>
        <v>7727.4000000000015</v>
      </c>
      <c r="BB5" s="18">
        <f t="shared" si="1"/>
        <v>4531.2000000000007</v>
      </c>
      <c r="BC5" s="18">
        <f t="shared" si="1"/>
        <v>3196.2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1879</v>
      </c>
      <c r="B6" s="2175"/>
      <c r="C6" s="2175"/>
      <c r="D6" s="2176"/>
      <c r="E6" s="16">
        <f>H6+AC6+AT6</f>
        <v>1742.42</v>
      </c>
      <c r="F6" s="16" t="s">
        <v>1</v>
      </c>
      <c r="G6" s="16" t="s">
        <v>2</v>
      </c>
      <c r="H6" s="20">
        <f>SUMIF(I$12:AB$12,"总值",I6:AB6)</f>
        <v>1742.42</v>
      </c>
      <c r="I6" s="16">
        <f t="shared" ref="I6:AB6" si="2">ROUND($A$3*I5/$B$3,2)</f>
        <v>1021.72</v>
      </c>
      <c r="J6" s="16">
        <f t="shared" si="2"/>
        <v>0</v>
      </c>
      <c r="K6" s="16">
        <f t="shared" si="2"/>
        <v>720.7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1879</v>
      </c>
      <c r="AW6" s="2175"/>
      <c r="AX6" s="2175"/>
      <c r="AY6" s="21">
        <f>IF(AY3&gt;0,AY3,ROUND($A$3*AZ5/$B$3,2))</f>
        <v>1742.42</v>
      </c>
      <c r="AZ6" s="16" t="s">
        <v>3</v>
      </c>
      <c r="BA6" s="16">
        <f>ROUND($AY$6*BA5/$AZ$5,2)</f>
        <v>1742.42</v>
      </c>
      <c r="BB6" s="16">
        <f>ROUND($AY$6*BB5/$AZ$5,2)</f>
        <v>1021.72</v>
      </c>
      <c r="BC6" s="16">
        <f t="shared" ref="BC6:BH6" si="4">ROUND($AY$6*BC5/$AZ$5,2)</f>
        <v>720.7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1880</v>
      </c>
      <c r="B7" s="2110" t="s">
        <v>1881</v>
      </c>
      <c r="C7" s="2110" t="s">
        <v>1882</v>
      </c>
      <c r="D7" s="2110" t="s">
        <v>1883</v>
      </c>
      <c r="E7" s="2110" t="s">
        <v>1884</v>
      </c>
      <c r="F7" s="2110" t="s">
        <v>1885</v>
      </c>
      <c r="G7" s="2179" t="s">
        <v>1886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1887</v>
      </c>
      <c r="AV7" s="23" t="s">
        <v>1888</v>
      </c>
      <c r="AW7" s="2167" t="s">
        <v>1889</v>
      </c>
      <c r="AX7" s="23" t="s">
        <v>1882</v>
      </c>
      <c r="AY7" s="1805" t="s">
        <v>1890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1891</v>
      </c>
      <c r="H8" s="2185" t="s">
        <v>1892</v>
      </c>
      <c r="I8" s="2186"/>
      <c r="J8" s="1820"/>
      <c r="K8" s="1820"/>
      <c r="L8" s="1820"/>
      <c r="M8" s="1820"/>
      <c r="N8" s="1820"/>
      <c r="O8" s="1820"/>
      <c r="P8" s="1820"/>
      <c r="Q8" s="1820"/>
      <c r="R8" s="1820"/>
      <c r="S8" s="1820"/>
      <c r="T8" s="1820"/>
      <c r="U8" s="1820"/>
      <c r="V8" s="2187"/>
      <c r="W8" s="1820"/>
      <c r="X8" s="1820"/>
      <c r="Y8" s="1820"/>
      <c r="Z8" s="1820"/>
      <c r="AA8" s="2187"/>
      <c r="AB8" s="2188"/>
      <c r="AC8" s="984" t="s">
        <v>1893</v>
      </c>
      <c r="AD8" s="2189"/>
      <c r="AE8" s="2181"/>
      <c r="AF8" s="1820"/>
      <c r="AG8" s="1820"/>
      <c r="AH8" s="1820"/>
      <c r="AI8" s="1820"/>
      <c r="AJ8" s="1820"/>
      <c r="AK8" s="1820"/>
      <c r="AL8" s="1820"/>
      <c r="AM8" s="1820"/>
      <c r="AN8" s="1820"/>
      <c r="AO8" s="1820"/>
      <c r="AP8" s="1820"/>
      <c r="AQ8" s="1820"/>
      <c r="AR8" s="1820"/>
      <c r="AS8" s="1820"/>
      <c r="AT8" s="1295" t="s">
        <v>1894</v>
      </c>
      <c r="AU8" s="2183" t="s">
        <v>1895</v>
      </c>
      <c r="AV8" s="1295"/>
      <c r="AW8" s="2166"/>
      <c r="AX8" s="1295"/>
      <c r="AY8" s="2167"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3.2">
      <c r="A9" s="2183"/>
      <c r="B9" s="2183"/>
      <c r="C9" s="2183"/>
      <c r="D9" s="2183"/>
      <c r="E9" s="2183"/>
      <c r="F9" s="2183"/>
      <c r="G9" s="1295"/>
      <c r="H9" s="2191" t="s">
        <v>1898</v>
      </c>
      <c r="I9" s="2192" t="s">
        <v>3063</v>
      </c>
      <c r="J9" s="984"/>
      <c r="K9" s="2192" t="s">
        <v>3091</v>
      </c>
      <c r="L9" s="984"/>
      <c r="M9" s="2192"/>
      <c r="N9" s="984"/>
      <c r="O9" s="2192"/>
      <c r="P9" s="984"/>
      <c r="Q9" s="2192"/>
      <c r="R9" s="984"/>
      <c r="S9" s="2192"/>
      <c r="T9" s="984"/>
      <c r="U9" s="2192"/>
      <c r="V9" s="984"/>
      <c r="W9" s="2192"/>
      <c r="X9" s="2193"/>
      <c r="Y9" s="2192"/>
      <c r="Z9" s="984"/>
      <c r="AA9" s="2192"/>
      <c r="AB9" s="984"/>
      <c r="AC9" s="2184"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4"/>
      <c r="AT9" s="2183"/>
      <c r="AU9" s="2183" t="s">
        <v>1901</v>
      </c>
      <c r="AV9" s="1295"/>
      <c r="AW9" s="2166"/>
      <c r="AX9" s="1295"/>
      <c r="AY9" s="28"/>
      <c r="AZ9" s="28" t="s">
        <v>1891</v>
      </c>
      <c r="BA9" s="2195" t="s">
        <v>1902</v>
      </c>
      <c r="BB9" s="2196"/>
      <c r="BC9" s="1341"/>
      <c r="BD9" s="1341"/>
      <c r="BE9" s="1341"/>
      <c r="BF9" s="1341"/>
      <c r="BG9" s="1341"/>
      <c r="BH9" s="1341"/>
      <c r="BI9" s="1341"/>
      <c r="BJ9" s="1341"/>
      <c r="BK9" s="2197"/>
      <c r="BL9" s="15" t="s">
        <v>1903</v>
      </c>
      <c r="BM9" s="1820"/>
      <c r="BN9" s="2186"/>
      <c r="BO9" s="1820"/>
      <c r="BP9" s="1820"/>
      <c r="BQ9" s="1820"/>
      <c r="BR9" s="1820"/>
      <c r="BS9" s="1820"/>
      <c r="BT9" s="26"/>
    </row>
    <row r="10" spans="1:72" s="2190" customFormat="1" ht="13.2">
      <c r="A10" s="2183"/>
      <c r="B10" s="2183"/>
      <c r="C10" s="2183"/>
      <c r="D10" s="2183"/>
      <c r="E10" s="2183"/>
      <c r="F10" s="2183"/>
      <c r="G10" s="1295"/>
      <c r="H10" s="28"/>
      <c r="I10" s="2192" t="s">
        <v>27</v>
      </c>
      <c r="J10" s="984"/>
      <c r="K10" s="2198" t="s">
        <v>27</v>
      </c>
      <c r="L10" s="984"/>
      <c r="M10" s="2198"/>
      <c r="N10" s="984"/>
      <c r="O10" s="2198"/>
      <c r="P10" s="984"/>
      <c r="Q10" s="2198"/>
      <c r="R10" s="984"/>
      <c r="S10" s="2198"/>
      <c r="T10" s="984"/>
      <c r="U10" s="2198"/>
      <c r="V10" s="984"/>
      <c r="W10" s="2198"/>
      <c r="X10" s="984"/>
      <c r="Y10" s="2198"/>
      <c r="Z10" s="984"/>
      <c r="AA10" s="2198"/>
      <c r="AB10" s="984"/>
      <c r="AC10" s="1295"/>
      <c r="AD10" s="15" t="s">
        <v>1904</v>
      </c>
      <c r="AE10" s="2199"/>
      <c r="AF10" s="15" t="s">
        <v>1904</v>
      </c>
      <c r="AG10" s="2199"/>
      <c r="AH10" s="15" t="s">
        <v>1905</v>
      </c>
      <c r="AI10" s="2199"/>
      <c r="AJ10" s="15" t="s">
        <v>1905</v>
      </c>
      <c r="AK10" s="2199"/>
      <c r="AL10" s="15" t="s">
        <v>1906</v>
      </c>
      <c r="AM10" s="1301"/>
      <c r="AN10" s="15" t="s">
        <v>1906</v>
      </c>
      <c r="AO10" s="1301"/>
      <c r="AP10" s="15" t="s">
        <v>1907</v>
      </c>
      <c r="AQ10" s="1301"/>
      <c r="AR10" s="15" t="s">
        <v>1907</v>
      </c>
      <c r="AS10" s="1301"/>
      <c r="AT10" s="2183"/>
      <c r="AU10" s="2183"/>
      <c r="AV10" s="1295"/>
      <c r="AW10" s="2166"/>
      <c r="AX10" s="1295"/>
      <c r="AY10" s="28"/>
      <c r="AZ10" s="28"/>
      <c r="BA10" s="2200" t="s">
        <v>1898</v>
      </c>
      <c r="BB10" s="2201" t="str">
        <f>I9</f>
        <v>地上</v>
      </c>
      <c r="BC10" s="29" t="str">
        <f>K9</f>
        <v>地下</v>
      </c>
      <c r="BD10" s="29">
        <f>M9</f>
        <v>0</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3.2">
      <c r="A11" s="2183"/>
      <c r="B11" s="2183"/>
      <c r="C11" s="2183"/>
      <c r="D11" s="2183"/>
      <c r="E11" s="2183"/>
      <c r="F11" s="2183"/>
      <c r="G11" s="1295"/>
      <c r="H11" s="2200"/>
      <c r="I11" s="2203" t="s">
        <v>3064</v>
      </c>
      <c r="J11" s="2204"/>
      <c r="K11" s="2203" t="s">
        <v>3064</v>
      </c>
      <c r="L11" s="2204"/>
      <c r="M11" s="2203"/>
      <c r="N11" s="2204"/>
      <c r="O11" s="2203"/>
      <c r="P11" s="2204"/>
      <c r="Q11" s="2203"/>
      <c r="R11" s="2204"/>
      <c r="S11" s="2203"/>
      <c r="T11" s="2204"/>
      <c r="U11" s="2203"/>
      <c r="V11" s="2204"/>
      <c r="W11" s="2203"/>
      <c r="X11" s="2204"/>
      <c r="Y11" s="2203"/>
      <c r="Z11" s="2204"/>
      <c r="AA11" s="2203"/>
      <c r="AB11" s="2204"/>
      <c r="AC11" s="1295"/>
      <c r="AD11" s="2205" t="s">
        <v>1908</v>
      </c>
      <c r="AE11" s="1821"/>
      <c r="AF11" s="2205" t="s">
        <v>1908</v>
      </c>
      <c r="AG11" s="1821"/>
      <c r="AH11" s="2205" t="s">
        <v>1909</v>
      </c>
      <c r="AI11" s="2206"/>
      <c r="AJ11" s="2205" t="s">
        <v>1909</v>
      </c>
      <c r="AK11" s="1821"/>
      <c r="AL11" s="1819"/>
      <c r="AM11" s="1821"/>
      <c r="AN11" s="1819"/>
      <c r="AO11" s="1821"/>
      <c r="AP11" s="1819"/>
      <c r="AQ11" s="1821"/>
      <c r="AR11" s="1819"/>
      <c r="AS11" s="1821"/>
      <c r="AT11" s="2166"/>
      <c r="AU11" s="2183"/>
      <c r="AV11" s="1295"/>
      <c r="AW11" s="2166"/>
      <c r="AX11" s="1295"/>
      <c r="AY11" s="28"/>
      <c r="AZ11" s="28"/>
      <c r="BA11" s="28"/>
      <c r="BB11" s="2188" t="str">
        <f>I10</f>
        <v>办公</v>
      </c>
      <c r="BC11" s="2188" t="str">
        <f>K10</f>
        <v>办公</v>
      </c>
      <c r="BD11" s="2188">
        <f>M10</f>
        <v>0</v>
      </c>
      <c r="BE11" s="2188">
        <f>O10</f>
        <v>0</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10"/>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8" t="s">
        <v>1911</v>
      </c>
      <c r="AT12" s="2211"/>
      <c r="AU12" s="2208"/>
      <c r="AV12" s="31"/>
      <c r="AW12" s="2167"/>
      <c r="AX12" s="31"/>
      <c r="AY12" s="2212"/>
      <c r="AZ12" s="28"/>
      <c r="BA12" s="2200"/>
      <c r="BB12" s="24" t="str">
        <f>I11</f>
        <v>办公楼</v>
      </c>
      <c r="BC12" s="2213" t="str">
        <f>K11</f>
        <v>办公楼</v>
      </c>
      <c r="BD12" s="2213">
        <f>M11</f>
        <v>0</v>
      </c>
      <c r="BE12" s="2188">
        <f>O11</f>
        <v>0</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3.2">
      <c r="A13" s="1275"/>
      <c r="B13" s="1275"/>
      <c r="C13" s="1275" t="s">
        <v>3062</v>
      </c>
      <c r="D13" s="2214" t="s">
        <v>3068</v>
      </c>
      <c r="E13" s="16">
        <f>IF($C$3="是",ROUND($A$3*G13/$B$3,2),ROUND($A$3*(G13-AT13)/$B$3,2))</f>
        <v>48.75</v>
      </c>
      <c r="F13" s="32"/>
      <c r="G13" s="33">
        <f>H13+AC13+AT13</f>
        <v>216.2</v>
      </c>
      <c r="H13" s="20">
        <f>SUMIF(I$12:AB$12,"总值",I13:AB13)</f>
        <v>216.2</v>
      </c>
      <c r="I13" s="2215">
        <v>216.2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216号</v>
      </c>
      <c r="AY13" s="1808">
        <f>ROUND($AY$6*AZ13/$AZ$5,2)</f>
        <v>48.75</v>
      </c>
      <c r="AZ13" s="16">
        <f>BA13+BL13</f>
        <v>216.2</v>
      </c>
      <c r="BA13" s="16">
        <f>SUM(BB13:BK13)</f>
        <v>216.2</v>
      </c>
      <c r="BB13" s="16">
        <f>IF($D13="是",I13-J13,0)</f>
        <v>216.2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3.2">
      <c r="A14" s="1275"/>
      <c r="B14" s="1275"/>
      <c r="C14" s="1275">
        <v>1</v>
      </c>
      <c r="D14" s="2214" t="s">
        <v>3068</v>
      </c>
      <c r="E14" s="16">
        <f>IF($C$3="是",ROUND($A$3*G14/$B$3,2),ROUND($A$3*(G14-AT14)/$B$3,2))</f>
        <v>253.78</v>
      </c>
      <c r="F14" s="32"/>
      <c r="G14" s="33">
        <f>H14+AC14+AT14</f>
        <v>1125.5</v>
      </c>
      <c r="H14" s="20">
        <f>SUMIF(I$12:AB$12,"总值",I14:AB14)</f>
        <v>1125.5</v>
      </c>
      <c r="I14" s="2215">
        <v>1125.5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1</v>
      </c>
      <c r="AY14" s="1808">
        <f>ROUND($AY$6*AZ14/$AZ$5,2)</f>
        <v>253.78</v>
      </c>
      <c r="AZ14" s="16">
        <f>BA14+BL14</f>
        <v>1125.5</v>
      </c>
      <c r="BA14" s="16">
        <f>SUM(BB14:BK14)</f>
        <v>1125.5</v>
      </c>
      <c r="BB14" s="16">
        <f>IF($D14="是",I14-J14,0)</f>
        <v>1125.5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3.2">
      <c r="A15" s="1275"/>
      <c r="B15" s="1275"/>
      <c r="C15" s="1275">
        <v>2</v>
      </c>
      <c r="D15" s="2214" t="s">
        <v>3068</v>
      </c>
      <c r="E15" s="16">
        <f>IF($C$3="是",ROUND($A$3*G15/$B$3,2),ROUND($A$3*(G15-AT15)/$B$3,2))</f>
        <v>233.06</v>
      </c>
      <c r="F15" s="32"/>
      <c r="G15" s="33">
        <f>H15+AC15+AT15</f>
        <v>1033.5999999999999</v>
      </c>
      <c r="H15" s="20">
        <f>SUMIF(I$12:AB$12,"总值",I15:AB15)</f>
        <v>1033.5999999999999</v>
      </c>
      <c r="I15" s="2215">
        <v>1033.5999999999999</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2</v>
      </c>
      <c r="AY15" s="1808">
        <f>ROUND($AY$6*AZ15/$AZ$5,2)</f>
        <v>233.06</v>
      </c>
      <c r="AZ15" s="16">
        <f>BA15+BL15</f>
        <v>1033.5999999999999</v>
      </c>
      <c r="BA15" s="16">
        <f>SUM(BB15:BK15)</f>
        <v>1033.5999999999999</v>
      </c>
      <c r="BB15" s="16">
        <f>IF($D15="是",I15-J15,0)</f>
        <v>1033.5999999999999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2">
      <c r="A16" s="1275"/>
      <c r="B16" s="1275"/>
      <c r="C16" s="1275" t="s">
        <v>3065</v>
      </c>
      <c r="D16" s="2214" t="s">
        <v>3068</v>
      </c>
      <c r="E16" s="16">
        <f>IF($C$3="是",ROUND($A$3*G16/$B$3,2),ROUND($A$3*(G16-AT16)/$B$3,2))</f>
        <v>405.83</v>
      </c>
      <c r="F16" s="32"/>
      <c r="G16" s="33">
        <f>H16+AC16+AT16</f>
        <v>1799.8</v>
      </c>
      <c r="H16" s="20">
        <f>SUMIF(I$12:AB$12,"总值",I16:AB16)</f>
        <v>1799.8</v>
      </c>
      <c r="I16" s="2215">
        <v>1799.8</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3-4层</v>
      </c>
      <c r="AY16" s="1808">
        <f>ROUND($AY$6*AZ16/$AZ$5,2)</f>
        <v>405.83</v>
      </c>
      <c r="AZ16" s="16">
        <f>BA16+BL16</f>
        <v>1799.8</v>
      </c>
      <c r="BA16" s="16">
        <f>SUM(BB16:BK16)</f>
        <v>1799.8</v>
      </c>
      <c r="BB16" s="16">
        <f>IF($D16="是",I16-J16,0)</f>
        <v>1799.8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2">
      <c r="A17" s="1275"/>
      <c r="B17" s="1275"/>
      <c r="C17" s="1275">
        <v>5</v>
      </c>
      <c r="D17" s="2214" t="s">
        <v>3068</v>
      </c>
      <c r="E17" s="16">
        <f>IF($C$3="是",ROUND($A$3*G17/$B$3,2),ROUND($A$3*(G17-AT17)/$B$3,2))</f>
        <v>80.3</v>
      </c>
      <c r="F17" s="32"/>
      <c r="G17" s="33">
        <f>H17+AC17+AT17</f>
        <v>356.1</v>
      </c>
      <c r="H17" s="20">
        <f>SUMIF(I$12:AB$12,"总值",I17:AB17)</f>
        <v>356.1</v>
      </c>
      <c r="I17" s="2215">
        <v>356.1</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5</v>
      </c>
      <c r="AY17" s="1808">
        <f>ROUND($AY$6*AZ17/$AZ$5,2)</f>
        <v>80.3</v>
      </c>
      <c r="AZ17" s="16">
        <f>BA17+BL17</f>
        <v>356.1</v>
      </c>
      <c r="BA17" s="16">
        <f>SUM(BB17:BK17)</f>
        <v>356.1</v>
      </c>
      <c r="BB17" s="16">
        <f>IF($D17="是",I17-J17,0)</f>
        <v>356.1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t="s">
        <v>3066</v>
      </c>
      <c r="D18" s="2214" t="s">
        <v>3068</v>
      </c>
      <c r="E18" s="35">
        <f t="shared" ref="E18:E112" si="7">IF($C$3="是",ROUND($A$3*G18/$B$3,2),ROUND($A$3*(G18-AT18)/$B$3,2))</f>
        <v>360.35</v>
      </c>
      <c r="F18" s="36"/>
      <c r="G18" s="37">
        <f t="shared" ref="G18:G109" si="8">H18+AC18+AT18</f>
        <v>1598.1</v>
      </c>
      <c r="H18" s="38">
        <f t="shared" ref="H18:H109" si="9">SUMIF(I$12:AB$12,"总值",I18:AB18)</f>
        <v>1598.1</v>
      </c>
      <c r="I18" s="39"/>
      <c r="J18" s="39"/>
      <c r="K18" s="39">
        <v>1598.1</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t="str">
        <f t="shared" ref="AX18:AX112" si="13">C18</f>
        <v>B1</v>
      </c>
      <c r="AY18" s="42">
        <f t="shared" ref="AY18:AY109" si="14">ROUND($AY$6*AZ18/$AZ$5,2)</f>
        <v>360.35</v>
      </c>
      <c r="AZ18" s="35">
        <f t="shared" ref="AZ18:AZ109" si="15">BA18+BL18</f>
        <v>1598.1</v>
      </c>
      <c r="BA18" s="35">
        <f t="shared" ref="BA18:BA109" si="16">SUM(BB18:BK18)</f>
        <v>1598.1</v>
      </c>
      <c r="BB18" s="35">
        <f t="shared" ref="BB18:BB109" si="17">IF($D18="是",I18-J18,0)</f>
        <v>0</v>
      </c>
      <c r="BC18" s="35">
        <f t="shared" ref="BC18:BC109" si="18">IF($D18="是",K18-L18,0)</f>
        <v>1598.1</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t="s">
        <v>3067</v>
      </c>
      <c r="D19" s="2214" t="s">
        <v>3068</v>
      </c>
      <c r="E19" s="35">
        <f t="shared" si="7"/>
        <v>360.35</v>
      </c>
      <c r="F19" s="36"/>
      <c r="G19" s="37">
        <f t="shared" si="8"/>
        <v>1598.1</v>
      </c>
      <c r="H19" s="38">
        <f t="shared" si="9"/>
        <v>1598.1</v>
      </c>
      <c r="I19" s="39"/>
      <c r="J19" s="39"/>
      <c r="K19" s="39">
        <v>1598.1</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t="str">
        <f t="shared" si="13"/>
        <v>B2</v>
      </c>
      <c r="AY19" s="42">
        <f t="shared" si="14"/>
        <v>360.35</v>
      </c>
      <c r="AZ19" s="35">
        <f t="shared" si="15"/>
        <v>1598.1</v>
      </c>
      <c r="BA19" s="35">
        <f t="shared" si="16"/>
        <v>1598.1</v>
      </c>
      <c r="BB19" s="35">
        <f t="shared" si="17"/>
        <v>0</v>
      </c>
      <c r="BC19" s="35">
        <f t="shared" si="18"/>
        <v>1598.1</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19" t="s">
        <v>0</v>
      </c>
      <c r="B1" s="3019" t="s">
        <v>4</v>
      </c>
      <c r="C1" s="3019" t="s">
        <v>5</v>
      </c>
      <c r="D1" s="3020" t="s">
        <v>53</v>
      </c>
      <c r="E1" s="3020" t="s">
        <v>54</v>
      </c>
      <c r="F1" s="3020"/>
      <c r="G1" s="3020"/>
      <c r="H1" s="3020"/>
      <c r="I1" s="3020"/>
      <c r="J1" s="3020"/>
      <c r="K1" s="3020"/>
      <c r="L1" s="3020"/>
      <c r="M1" s="3020"/>
    </row>
    <row r="2" spans="1:13" ht="27" customHeight="1">
      <c r="A2" s="3019"/>
      <c r="B2" s="3019"/>
      <c r="C2" s="3019"/>
      <c r="D2" s="3020"/>
      <c r="E2" s="3020" t="s">
        <v>37</v>
      </c>
      <c r="F2" s="3020" t="s">
        <v>38</v>
      </c>
      <c r="G2" s="3020"/>
      <c r="H2" s="3020"/>
      <c r="I2" s="3020"/>
      <c r="J2" s="3020" t="s">
        <v>39</v>
      </c>
      <c r="K2" s="3020"/>
      <c r="L2" s="3020"/>
      <c r="M2" s="3020"/>
    </row>
    <row r="3" spans="1:13" ht="46.8">
      <c r="A3" s="3019"/>
      <c r="B3" s="3019"/>
      <c r="C3" s="3019"/>
      <c r="D3" s="3020"/>
      <c r="E3" s="302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0" t="s">
        <v>55</v>
      </c>
      <c r="B9" s="3020"/>
      <c r="C9" s="30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0" sqref="G20"/>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1937</v>
      </c>
      <c r="B1" s="1394"/>
      <c r="C1" s="1394"/>
      <c r="D1" s="1394"/>
      <c r="E1" s="1394"/>
      <c r="F1" s="1394"/>
      <c r="G1" s="1394"/>
      <c r="H1" s="1394"/>
      <c r="I1" s="1394"/>
      <c r="J1" s="1394"/>
      <c r="K1" s="1394"/>
      <c r="L1" s="1394"/>
      <c r="M1" s="1394"/>
      <c r="N1" s="1394"/>
      <c r="O1" s="1394"/>
      <c r="P1" s="1394"/>
    </row>
    <row r="2" spans="1:16" ht="14.4">
      <c r="A2" s="3030" t="s">
        <v>1938</v>
      </c>
      <c r="B2" s="3030"/>
      <c r="C2" s="3030"/>
      <c r="D2" s="970" t="s">
        <v>1914</v>
      </c>
      <c r="E2" s="2228" t="s">
        <v>1915</v>
      </c>
      <c r="F2" s="1394"/>
      <c r="G2" s="2229"/>
      <c r="H2" s="2230"/>
      <c r="I2" s="2231" t="s">
        <v>1939</v>
      </c>
      <c r="J2" s="1394"/>
      <c r="K2" s="1394"/>
      <c r="L2" s="1394"/>
      <c r="M2" s="1394"/>
      <c r="N2" s="1429"/>
      <c r="O2" s="1394"/>
      <c r="P2" s="1394"/>
    </row>
    <row r="3" spans="1:16" ht="15" thickBot="1">
      <c r="A3" s="3031" t="s">
        <v>1912</v>
      </c>
      <c r="B3" s="3031"/>
      <c r="C3" s="3031"/>
      <c r="D3" s="46">
        <f>'数据-基础表'!AY6</f>
        <v>1742.42</v>
      </c>
      <c r="E3" s="46">
        <f>'数据-基础表'!AZ5</f>
        <v>7727.4000000000015</v>
      </c>
      <c r="F3" s="1394"/>
      <c r="G3" s="1401"/>
      <c r="H3" s="1250" t="s">
        <v>1913</v>
      </c>
      <c r="I3" s="55">
        <f>ROUND('数据-基础表'!B3/'数据-基础表'!A3,2)</f>
        <v>4.43</v>
      </c>
      <c r="J3" s="1394"/>
      <c r="K3" s="1394"/>
      <c r="L3" s="1394"/>
      <c r="M3" s="1394"/>
      <c r="N3" s="1429"/>
      <c r="O3" s="1394"/>
      <c r="P3" s="1394"/>
    </row>
    <row r="4" spans="1:16" ht="14.4">
      <c r="A4" s="3032"/>
      <c r="B4" s="3033"/>
      <c r="C4" s="3034"/>
      <c r="D4" s="2232" t="s">
        <v>1914</v>
      </c>
      <c r="E4" s="2233" t="s">
        <v>1915</v>
      </c>
      <c r="F4" s="1394"/>
      <c r="G4" s="2234" t="s">
        <v>1940</v>
      </c>
      <c r="H4" s="1250" t="s">
        <v>1920</v>
      </c>
      <c r="I4" s="55">
        <f>ROUND(SUMIF('数据-基础表'!I9:AS9,"地上",'数据-基础表'!I5:AS5)/'数据-基础表'!A3,2)</f>
        <v>2.6</v>
      </c>
      <c r="J4" s="1394"/>
      <c r="K4" s="1394"/>
      <c r="L4" s="1394"/>
      <c r="M4" s="1394"/>
      <c r="N4" s="1429"/>
      <c r="O4" s="1394"/>
      <c r="P4" s="1394"/>
    </row>
    <row r="5" spans="1:16" ht="14.4">
      <c r="A5" s="47" t="s">
        <v>1916</v>
      </c>
      <c r="B5" s="3035" t="s">
        <v>1917</v>
      </c>
      <c r="C5" s="3035"/>
      <c r="D5" s="48">
        <f>ROUND($D$3*E5/$E$3,2)</f>
        <v>0</v>
      </c>
      <c r="E5" s="49">
        <f>SUMIF('数据-基础表'!$11:$11,"住宅",'数据-基础表'!$5:$5)</f>
        <v>0</v>
      </c>
      <c r="F5" s="1394"/>
      <c r="G5" s="1401"/>
      <c r="H5" s="1250" t="s">
        <v>1913</v>
      </c>
      <c r="I5" s="55">
        <f>ROUND(E31/D31,2)</f>
        <v>4.43</v>
      </c>
      <c r="J5" s="1394"/>
      <c r="K5" s="1394"/>
      <c r="L5" s="1394"/>
      <c r="M5" s="1394"/>
      <c r="N5" s="1394"/>
      <c r="O5" s="1394"/>
      <c r="P5" s="1394"/>
    </row>
    <row r="6" spans="1:16" ht="15" thickBot="1">
      <c r="A6" s="2235"/>
      <c r="B6" s="3035" t="s">
        <v>1918</v>
      </c>
      <c r="C6" s="3035"/>
      <c r="D6" s="48">
        <f>ROUND($D$3*E6/$E$3,2)</f>
        <v>1742.42</v>
      </c>
      <c r="E6" s="49">
        <f>E3-E5</f>
        <v>7727.4000000000015</v>
      </c>
      <c r="F6" s="1394"/>
      <c r="G6" s="2236" t="s">
        <v>1919</v>
      </c>
      <c r="H6" s="1401" t="s">
        <v>1920</v>
      </c>
      <c r="I6" s="942">
        <f>ROUND(F31/D31,2)</f>
        <v>2.6</v>
      </c>
      <c r="J6" s="1394"/>
      <c r="K6" s="1394"/>
      <c r="L6" s="1394"/>
      <c r="M6" s="1394"/>
      <c r="N6" s="1394"/>
      <c r="O6" s="1394"/>
      <c r="P6" s="1394"/>
    </row>
    <row r="7" spans="1:16" ht="14.4">
      <c r="A7" s="3027"/>
      <c r="B7" s="3028"/>
      <c r="C7" s="3029"/>
      <c r="D7" s="2232" t="s">
        <v>1914</v>
      </c>
      <c r="E7" s="2237" t="s">
        <v>1921</v>
      </c>
      <c r="F7" s="1394"/>
      <c r="G7" s="2229" t="s">
        <v>1922</v>
      </c>
      <c r="H7" s="64"/>
      <c r="I7" s="420"/>
      <c r="J7" s="1394"/>
      <c r="K7" s="1394"/>
      <c r="L7" s="1394"/>
      <c r="M7" s="1394"/>
      <c r="N7" s="1394"/>
      <c r="O7" s="1394"/>
      <c r="P7" s="1394"/>
    </row>
    <row r="8" spans="1:16" ht="14.4">
      <c r="A8" s="47" t="s">
        <v>1923</v>
      </c>
      <c r="B8" s="50" t="s">
        <v>1924</v>
      </c>
      <c r="C8" s="48" t="s">
        <v>1925</v>
      </c>
      <c r="D8" s="48">
        <f t="shared" ref="D8:D15" si="0">ROUND($D$3*E8/$E$3,2)</f>
        <v>1021.72</v>
      </c>
      <c r="E8" s="51">
        <f>SUMIF('数据-基础表'!BB10:BK10,"地上",'数据-基础表'!BB5:BK5)</f>
        <v>4531.2000000000007</v>
      </c>
      <c r="F8" s="1394"/>
      <c r="G8" s="2238"/>
      <c r="H8" s="2238"/>
      <c r="I8" s="1394"/>
      <c r="J8" s="1394"/>
      <c r="K8" s="1394"/>
      <c r="L8" s="1394"/>
      <c r="M8" s="1394"/>
      <c r="N8" s="1394"/>
      <c r="O8" s="1394"/>
      <c r="P8" s="1394"/>
    </row>
    <row r="9" spans="1:16" ht="14.4">
      <c r="A9" s="2239"/>
      <c r="B9" s="2240"/>
      <c r="C9" s="48" t="s">
        <v>1926</v>
      </c>
      <c r="D9" s="48">
        <f t="shared" si="0"/>
        <v>0</v>
      </c>
      <c r="E9" s="52">
        <v>0</v>
      </c>
      <c r="F9" s="1394"/>
      <c r="G9" s="2238"/>
      <c r="H9" s="2238"/>
      <c r="I9" s="1394"/>
      <c r="J9" s="1394"/>
      <c r="K9" s="1394"/>
      <c r="L9" s="1394"/>
      <c r="M9" s="1394"/>
      <c r="N9" s="1394"/>
      <c r="O9" s="1394"/>
      <c r="P9" s="1394"/>
    </row>
    <row r="10" spans="1:16" ht="14.4">
      <c r="A10" s="2239"/>
      <c r="B10" s="2240"/>
      <c r="C10" s="48" t="s">
        <v>1935</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ht="14.4">
      <c r="A11" s="2239"/>
      <c r="B11" s="2240"/>
      <c r="C11" s="48" t="s">
        <v>1927</v>
      </c>
      <c r="D11" s="48">
        <f t="shared" si="0"/>
        <v>720.7</v>
      </c>
      <c r="E11" s="51">
        <f>SUMPRODUCT(('数据-基础表'!BB10:BK10="地下")*('数据-基础表'!BB11:BK11="办公")*('数据-基础表'!BB5:BK5))+'数据-基础表'!BP5</f>
        <v>3196.2</v>
      </c>
      <c r="F11" s="1394"/>
      <c r="G11" s="2238"/>
      <c r="H11" s="2238"/>
      <c r="I11" s="1394"/>
      <c r="J11" s="1394"/>
      <c r="K11" s="1394"/>
      <c r="L11" s="1394"/>
      <c r="M11" s="1394"/>
      <c r="N11" s="1394"/>
      <c r="O11" s="1394"/>
      <c r="P11" s="1394"/>
    </row>
    <row r="12" spans="1:16" ht="14.4">
      <c r="A12" s="2239"/>
      <c r="B12" s="2240"/>
      <c r="C12" s="48" t="s">
        <v>1928</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ht="14.4">
      <c r="A13" s="2239"/>
      <c r="B13" s="2240"/>
      <c r="C13" s="48" t="s">
        <v>1929</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ht="14.4">
      <c r="A14" s="2239"/>
      <c r="B14" s="2240"/>
      <c r="C14" s="48" t="s">
        <v>1941</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1936</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 thickBot="1">
      <c r="A16" s="2235"/>
      <c r="B16" s="2240"/>
      <c r="C16" s="50" t="s">
        <v>1930</v>
      </c>
      <c r="D16" s="50">
        <f>SUM(D8:D15)</f>
        <v>1742.42</v>
      </c>
      <c r="E16" s="53">
        <f>SUM(E8:E15)</f>
        <v>7727.4000000000005</v>
      </c>
      <c r="F16" s="1394"/>
      <c r="G16" s="2238"/>
      <c r="H16" s="2241" t="s">
        <v>1942</v>
      </c>
      <c r="I16" s="2242"/>
      <c r="J16" s="1394"/>
      <c r="K16" s="3024" t="s">
        <v>1942</v>
      </c>
      <c r="L16" s="3025"/>
      <c r="M16" s="3025"/>
      <c r="N16" s="3025"/>
      <c r="O16" s="3025"/>
      <c r="P16" s="3026"/>
    </row>
    <row r="17" spans="1:19" ht="14.4">
      <c r="A17" s="2243" t="s">
        <v>1943</v>
      </c>
      <c r="B17" s="2244" t="s">
        <v>1944</v>
      </c>
      <c r="C17" s="2245" t="s">
        <v>1945</v>
      </c>
      <c r="D17" s="2246" t="s">
        <v>1933</v>
      </c>
      <c r="E17" s="2247" t="s">
        <v>1934</v>
      </c>
      <c r="F17" s="2248"/>
      <c r="G17" s="2249"/>
      <c r="H17" s="2250" t="s">
        <v>1946</v>
      </c>
      <c r="I17" s="2251" t="s">
        <v>1931</v>
      </c>
      <c r="J17" s="1394"/>
      <c r="K17" s="3021" t="s">
        <v>1947</v>
      </c>
      <c r="L17" s="3022"/>
      <c r="M17" s="3023"/>
      <c r="N17" s="3021" t="s">
        <v>1948</v>
      </c>
      <c r="O17" s="3022"/>
      <c r="P17" s="3023"/>
      <c r="R17" s="2229" t="s">
        <v>1949</v>
      </c>
      <c r="S17" s="64"/>
    </row>
    <row r="18" spans="1:19" ht="14.4">
      <c r="A18" s="2239"/>
      <c r="B18" s="2252"/>
      <c r="C18" s="2253"/>
      <c r="D18" s="2254"/>
      <c r="E18" s="2255" t="s">
        <v>1950</v>
      </c>
      <c r="F18" s="2256" t="s">
        <v>1951</v>
      </c>
      <c r="G18" s="2257" t="s">
        <v>1952</v>
      </c>
      <c r="H18" s="1265" t="s">
        <v>1953</v>
      </c>
      <c r="I18" s="2258" t="s">
        <v>1954</v>
      </c>
      <c r="J18" s="1394"/>
      <c r="K18" s="1265" t="s">
        <v>1955</v>
      </c>
      <c r="L18" s="2259" t="s">
        <v>1956</v>
      </c>
      <c r="M18" s="1049" t="s">
        <v>1957</v>
      </c>
      <c r="N18" s="1265" t="s">
        <v>1955</v>
      </c>
      <c r="O18" s="2259" t="s">
        <v>1956</v>
      </c>
      <c r="P18" s="1049" t="s">
        <v>1957</v>
      </c>
      <c r="R18" s="1250" t="s">
        <v>1958</v>
      </c>
      <c r="S18" s="1250" t="s">
        <v>1959</v>
      </c>
    </row>
    <row r="19" spans="1:19" ht="14.4">
      <c r="A19" s="2260"/>
      <c r="B19" s="50" t="s">
        <v>1932</v>
      </c>
      <c r="C19" s="3273" t="s">
        <v>3069</v>
      </c>
      <c r="D19" s="48">
        <f>ROUND($D$3*E19/$E$3,2)</f>
        <v>1742.42</v>
      </c>
      <c r="E19" s="56">
        <f t="shared" ref="E19:E26" si="1">SUM(F19:G19)</f>
        <v>7727.4000000000005</v>
      </c>
      <c r="F19" s="57">
        <f>'数据-基础表'!I5</f>
        <v>4531.2000000000007</v>
      </c>
      <c r="G19" s="58">
        <f>'数据-基础表'!K5</f>
        <v>3196.2</v>
      </c>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62"/>
      <c r="O19" s="2263"/>
      <c r="P19" s="1405">
        <f>N19+O19</f>
        <v>0</v>
      </c>
      <c r="R19" s="1250">
        <f t="shared" ref="R19:S26" si="5">D19+H19</f>
        <v>1742.42</v>
      </c>
      <c r="S19" s="1251">
        <f t="shared" si="5"/>
        <v>7727.4000000000005</v>
      </c>
    </row>
    <row r="20" spans="1:19" ht="14.4">
      <c r="A20" s="2264"/>
      <c r="B20" s="50" t="s">
        <v>1960</v>
      </c>
      <c r="C20" s="2261"/>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62"/>
      <c r="O20" s="2263"/>
      <c r="P20" s="1405">
        <f t="shared" ref="P20:P26" si="9">N20+O20</f>
        <v>0</v>
      </c>
      <c r="R20" s="1250">
        <f t="shared" si="5"/>
        <v>0</v>
      </c>
      <c r="S20" s="1251">
        <f t="shared" si="5"/>
        <v>0</v>
      </c>
    </row>
    <row r="21" spans="1:19" ht="14.4">
      <c r="A21" s="2264"/>
      <c r="B21" s="50" t="s">
        <v>1960</v>
      </c>
      <c r="C21" s="2261"/>
      <c r="D21" s="48">
        <f t="shared" si="6"/>
        <v>0</v>
      </c>
      <c r="E21" s="56">
        <f t="shared" si="1"/>
        <v>0</v>
      </c>
      <c r="F21" s="57"/>
      <c r="G21" s="58"/>
      <c r="H21" s="723">
        <f t="shared" si="7"/>
        <v>0</v>
      </c>
      <c r="I21" s="51">
        <f t="shared" si="2"/>
        <v>0</v>
      </c>
      <c r="J21" s="1394"/>
      <c r="K21" s="1393">
        <f t="shared" si="3"/>
        <v>0</v>
      </c>
      <c r="L21" s="1250">
        <f t="shared" si="4"/>
        <v>0</v>
      </c>
      <c r="M21" s="1405">
        <f t="shared" si="8"/>
        <v>0</v>
      </c>
      <c r="N21" s="2262"/>
      <c r="O21" s="2263"/>
      <c r="P21" s="1405">
        <f t="shared" si="9"/>
        <v>0</v>
      </c>
      <c r="R21" s="1250">
        <f t="shared" si="5"/>
        <v>0</v>
      </c>
      <c r="S21" s="1251">
        <f t="shared" si="5"/>
        <v>0</v>
      </c>
    </row>
    <row r="22" spans="1:19" ht="14.4">
      <c r="A22" s="2264"/>
      <c r="B22" s="50" t="s">
        <v>1960</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62"/>
      <c r="O22" s="2263"/>
      <c r="P22" s="1405">
        <f t="shared" si="9"/>
        <v>0</v>
      </c>
      <c r="R22" s="1250">
        <f t="shared" si="5"/>
        <v>0</v>
      </c>
      <c r="S22" s="1251">
        <f t="shared" si="5"/>
        <v>0</v>
      </c>
    </row>
    <row r="23" spans="1:19" ht="14.4">
      <c r="A23" s="2264"/>
      <c r="B23" s="50" t="s">
        <v>1960</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62"/>
      <c r="O23" s="2263"/>
      <c r="P23" s="1405">
        <f t="shared" si="9"/>
        <v>0</v>
      </c>
      <c r="R23" s="1250">
        <f t="shared" si="5"/>
        <v>0</v>
      </c>
      <c r="S23" s="1251">
        <f t="shared" si="5"/>
        <v>0</v>
      </c>
    </row>
    <row r="24" spans="1:19" ht="14.4">
      <c r="A24" s="2264"/>
      <c r="B24" s="50" t="s">
        <v>1960</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62"/>
      <c r="O24" s="2263"/>
      <c r="P24" s="1405">
        <f t="shared" si="9"/>
        <v>0</v>
      </c>
      <c r="R24" s="1250">
        <f t="shared" si="5"/>
        <v>0</v>
      </c>
      <c r="S24" s="1251">
        <f t="shared" si="5"/>
        <v>0</v>
      </c>
    </row>
    <row r="25" spans="1:19" ht="14.4">
      <c r="A25" s="2264"/>
      <c r="B25" s="50" t="s">
        <v>1960</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62"/>
      <c r="O25" s="2263"/>
      <c r="P25" s="1405">
        <f t="shared" si="9"/>
        <v>0</v>
      </c>
      <c r="R25" s="1250">
        <f t="shared" si="5"/>
        <v>0</v>
      </c>
      <c r="S25" s="1251">
        <f t="shared" si="5"/>
        <v>0</v>
      </c>
    </row>
    <row r="26" spans="1:19" ht="14.4">
      <c r="A26" s="2264"/>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50">
        <f t="shared" si="5"/>
        <v>0</v>
      </c>
      <c r="S26" s="1251">
        <f t="shared" si="5"/>
        <v>0</v>
      </c>
    </row>
    <row r="27" spans="1:19" ht="15" thickBot="1">
      <c r="A27" s="2264"/>
      <c r="B27" s="48"/>
      <c r="C27" s="2267" t="s">
        <v>1961</v>
      </c>
      <c r="D27" s="1395">
        <f>SUM(D19:D26)</f>
        <v>1742.42</v>
      </c>
      <c r="E27" s="1396">
        <f>IF(SUM(E19:E26)='数据-基础表'!BA5,SUM(E19:E26),IF(F27="地上面积有误","面积有误","地下面积有误"))</f>
        <v>7727.4000000000005</v>
      </c>
      <c r="F27" s="1395">
        <f>IF(SUM(F19:F26)=E8,SUM(F19:F26),"地上面积有误")</f>
        <v>4531.2000000000007</v>
      </c>
      <c r="G27" s="1397">
        <f>SUM(G19:G26)</f>
        <v>3196.2</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1742.42</v>
      </c>
      <c r="S27" s="1250">
        <f>IF(SUM(S19:S26)=$E$3,SUM(S19:S26),SUM(S19:S26)&amp;"误差"&amp;ROUND(SUM(S19:S26)-E3,2))</f>
        <v>7727.4000000000005</v>
      </c>
    </row>
    <row r="28" spans="1:19" ht="14.4">
      <c r="A28" s="2264"/>
      <c r="B28" s="50" t="s">
        <v>1962</v>
      </c>
      <c r="C28" s="1262"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ht="14.4">
      <c r="A29" s="2264"/>
      <c r="B29" s="50" t="s">
        <v>1962</v>
      </c>
      <c r="C29" s="2268"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4"/>
      <c r="B30" s="50"/>
      <c r="C30" s="2269" t="s">
        <v>1961</v>
      </c>
      <c r="D30" s="1395">
        <f>SUM(D28:D29)</f>
        <v>0</v>
      </c>
      <c r="E30" s="1395">
        <f>SUM(E28:E29)</f>
        <v>0</v>
      </c>
      <c r="F30" s="1395">
        <f>SUM(F28:F29)</f>
        <v>0</v>
      </c>
      <c r="G30" s="1397">
        <f>SUM(G28:G29)</f>
        <v>0</v>
      </c>
      <c r="H30" s="1394"/>
      <c r="I30" s="1394"/>
      <c r="J30" s="1394"/>
      <c r="K30" s="1394"/>
      <c r="L30" s="1394"/>
      <c r="M30" s="1394"/>
      <c r="N30" s="1394"/>
      <c r="O30" s="1394"/>
      <c r="P30" s="1394"/>
    </row>
    <row r="31" spans="1:19" ht="15" thickBot="1">
      <c r="A31" s="2270"/>
      <c r="B31" s="2271"/>
      <c r="C31" s="1010" t="s">
        <v>1965</v>
      </c>
      <c r="D31" s="729">
        <f>D27+D30</f>
        <v>1742.42</v>
      </c>
      <c r="E31" s="729">
        <f>E27+E30</f>
        <v>7727.4000000000005</v>
      </c>
      <c r="F31" s="730">
        <f>F27+F30</f>
        <v>4531.2000000000007</v>
      </c>
      <c r="G31" s="731">
        <f>G27+G30</f>
        <v>3196.2</v>
      </c>
      <c r="H31" s="1394"/>
      <c r="I31" s="1394"/>
      <c r="J31" s="1394"/>
      <c r="K31" s="1394"/>
      <c r="L31" s="1394"/>
      <c r="M31" s="1394"/>
      <c r="N31" s="1394"/>
      <c r="O31" s="1394"/>
      <c r="P31" s="1394"/>
    </row>
    <row r="32" spans="1:19" ht="14.4">
      <c r="A32" s="2234"/>
      <c r="B32" s="2234" t="s">
        <v>1966</v>
      </c>
      <c r="C32" s="2234"/>
      <c r="D32" s="2234"/>
      <c r="E32" s="1277">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O20" sqref="O20:O21"/>
    </sheetView>
  </sheetViews>
  <sheetFormatPr defaultColWidth="13.77734375" defaultRowHeight="13.2"/>
  <cols>
    <col min="1" max="1" width="20.88671875" style="2346" customWidth="1"/>
    <col min="2" max="2" width="12" style="2276" customWidth="1"/>
    <col min="3" max="3" width="10.77734375" style="2276" customWidth="1"/>
    <col min="4" max="4" width="9.109375" style="2347"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7.4414062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1967</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 thickBot="1">
      <c r="A2" s="2277" t="s">
        <v>1968</v>
      </c>
      <c r="B2" s="1269">
        <f>项目基本情况!D3</f>
        <v>43269</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4.4"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5" t="s">
        <v>1973</v>
      </c>
      <c r="AA4" s="2245"/>
      <c r="AB4" s="2245"/>
      <c r="AC4" s="2245"/>
      <c r="AD4" s="2245"/>
      <c r="AE4" s="2243" t="s">
        <v>1974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57.6">
      <c r="A5" s="2290" t="s">
        <v>1975</v>
      </c>
      <c r="B5" s="2291" t="s">
        <v>1976</v>
      </c>
      <c r="C5" s="2292" t="s">
        <v>1977</v>
      </c>
      <c r="D5" s="2293" t="s">
        <v>1978</v>
      </c>
      <c r="E5" s="1271" t="s">
        <v>1979</v>
      </c>
      <c r="F5" s="2294" t="s">
        <v>1980</v>
      </c>
      <c r="G5" s="1271" t="s">
        <v>1981</v>
      </c>
      <c r="H5" s="1271" t="s">
        <v>1982</v>
      </c>
      <c r="I5" s="1271" t="s">
        <v>1983</v>
      </c>
      <c r="J5" s="2295" t="s">
        <v>1984</v>
      </c>
      <c r="K5" s="2296" t="s">
        <v>1985</v>
      </c>
      <c r="L5" s="2297" t="s">
        <v>1986</v>
      </c>
      <c r="M5" s="2298" t="s">
        <v>1987</v>
      </c>
      <c r="N5" s="2299" t="s">
        <v>3070</v>
      </c>
      <c r="O5" s="2297" t="s">
        <v>1988</v>
      </c>
      <c r="P5" s="2300" t="s">
        <v>1989</v>
      </c>
      <c r="Q5" s="69" t="s">
        <v>1990</v>
      </c>
      <c r="R5" s="2301" t="s">
        <v>1991</v>
      </c>
      <c r="S5" s="2302" t="s">
        <v>1992</v>
      </c>
      <c r="T5" s="2303" t="s">
        <v>1993</v>
      </c>
      <c r="U5" s="1270" t="s">
        <v>1994</v>
      </c>
      <c r="V5" s="1271" t="s">
        <v>1995</v>
      </c>
      <c r="W5" s="1271" t="s">
        <v>1996</v>
      </c>
      <c r="X5" s="71"/>
      <c r="Y5" s="70" t="s">
        <v>1997</v>
      </c>
      <c r="Z5" s="2304" t="s">
        <v>1994</v>
      </c>
      <c r="AA5" s="1271" t="s">
        <v>1995</v>
      </c>
      <c r="AB5" s="1271" t="s">
        <v>1996</v>
      </c>
      <c r="AC5" s="71"/>
      <c r="AD5" s="71" t="s">
        <v>1997</v>
      </c>
      <c r="AE5" s="1270" t="s">
        <v>1998</v>
      </c>
      <c r="AF5" s="1271" t="s">
        <v>1999</v>
      </c>
      <c r="AG5" s="70" t="s">
        <v>2000</v>
      </c>
      <c r="AH5" s="1270" t="s">
        <v>2001</v>
      </c>
      <c r="AI5" s="2304" t="s">
        <v>2002</v>
      </c>
      <c r="AJ5" s="2304" t="s">
        <v>2003</v>
      </c>
      <c r="AK5" s="1271" t="s">
        <v>2004</v>
      </c>
      <c r="AL5" s="1271" t="s">
        <v>2005</v>
      </c>
      <c r="AM5" s="70" t="s">
        <v>2006</v>
      </c>
      <c r="AN5" s="2305" t="s">
        <v>2007</v>
      </c>
      <c r="AO5" s="2075" t="s">
        <v>2008</v>
      </c>
      <c r="AP5" s="1252" t="s">
        <v>2009</v>
      </c>
      <c r="AQ5" s="2306" t="s">
        <v>2010</v>
      </c>
      <c r="AR5" s="2306" t="s">
        <v>2011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3.8">
      <c r="A6" s="2307" t="str">
        <f>'数据-汇总表'!C19</f>
        <v>办公</v>
      </c>
      <c r="B6" s="2308" t="str">
        <f>IF(A6=0,"","经营性")</f>
        <v>经营性</v>
      </c>
      <c r="C6" s="2309" t="s">
        <v>27</v>
      </c>
      <c r="D6" s="1054">
        <f>SUMIF(项目基本情况!D$12:I$12,C6,项目基本情况!D$14:I$14)</f>
        <v>50</v>
      </c>
      <c r="E6" s="1051">
        <f>IF(B6="","",SUMIF(项目基本情况!D$12:I$12,C6,项目基本情况!D$13:I$13))</f>
        <v>52948</v>
      </c>
      <c r="F6" s="72">
        <f>SUMIF(项目基本情况!D$12:I$12,C6,项目基本情况!D$15:I$15)</f>
        <v>26.51</v>
      </c>
      <c r="G6" s="73">
        <f>IF(ISERROR(ROUND(POWER(1+H6,D6-F6)*(POWER(1+H6,F6)-1)/(POWER(1+H6,D6)-1),3)),0,ROUND(POWER(1+H6,D6-F6)*(POWER(1+H6,F6)-1)/(POWER(1+H6,D6)-1),3))</f>
        <v>0.79500000000000004</v>
      </c>
      <c r="H6" s="802">
        <v>0.05</v>
      </c>
      <c r="I6" s="802">
        <v>5.5E-2</v>
      </c>
      <c r="J6" s="74">
        <v>8.5000000000000006E-2</v>
      </c>
      <c r="K6" s="1254">
        <f>SUMIF('数据-汇总表'!C$19:C$33,A6,'数据-汇总表'!E$19:E$33)</f>
        <v>7727.4000000000005</v>
      </c>
      <c r="L6" s="803">
        <v>2800</v>
      </c>
      <c r="M6" s="75">
        <f t="shared" ref="M6:M14" si="0">ROUND(K6*L6/10000,0)</f>
        <v>2164</v>
      </c>
      <c r="N6" s="801">
        <f>ROUND(((1-(1-2%)*(2018-1996)/50)+0.9)/2,2)</f>
        <v>0.73</v>
      </c>
      <c r="O6" s="75" t="str">
        <f>IF($N$5="成新度","——",ROUND(M6*N6,0))</f>
        <v>——</v>
      </c>
      <c r="P6" s="76" t="str">
        <f>IF($N$5="成新度","——",M6-O6)</f>
        <v>——</v>
      </c>
      <c r="Q6" s="804">
        <v>0.15</v>
      </c>
      <c r="R6" s="77">
        <f ca="1">SUMIF('数据-汇总表'!C$19:C$33,A6,'数据-汇总表'!R$19:R$27)</f>
        <v>1742.42</v>
      </c>
      <c r="S6" s="54">
        <f>IF('数据-汇总表'!$I$17="按面积比例",SUMIF('数据-汇总表'!C$19:C$33,A6,'数据-汇总表'!K$19:K$33),SUMIF('数据-汇总表'!C$19:C$33,A6,'数据-汇总表'!N$19:N$33))</f>
        <v>0</v>
      </c>
      <c r="T6" s="1445">
        <f>ROUND($L$14*S6/10000,0)</f>
        <v>0</v>
      </c>
      <c r="U6" s="78">
        <v>3.7</v>
      </c>
      <c r="V6" s="79">
        <v>0.03</v>
      </c>
      <c r="W6" s="79">
        <v>0.1</v>
      </c>
      <c r="X6" s="1264"/>
      <c r="Y6" s="80">
        <f>N6</f>
        <v>0.73</v>
      </c>
      <c r="Z6" s="81"/>
      <c r="AA6" s="74"/>
      <c r="AB6" s="74"/>
      <c r="AC6" s="1264"/>
      <c r="AD6" s="82"/>
      <c r="AE6" s="1265">
        <f ca="1">IF(AN6="",0,SUMIF(INDIRECT("'"&amp;AN6&amp;"'"&amp;"!E:E"),$AE$5,INDIRECT("'"&amp;AN6&amp;"'"&amp;"!F:F")))</f>
        <v>26.51</v>
      </c>
      <c r="AF6" s="1806"/>
      <c r="AG6" s="147">
        <f>IF(AF6="",0,AE6-AF6)</f>
        <v>0</v>
      </c>
      <c r="AH6" s="83"/>
      <c r="AI6" s="85">
        <v>365</v>
      </c>
      <c r="AJ6" s="86"/>
      <c r="AK6" s="87">
        <v>1.4999999999999999E-2</v>
      </c>
      <c r="AL6" s="88">
        <v>1.5E-3</v>
      </c>
      <c r="AM6" s="89">
        <v>0.01</v>
      </c>
      <c r="AN6" s="2310" t="s">
        <v>3071</v>
      </c>
      <c r="AO6" s="55">
        <f ca="1">SUMIF(INDIRECT("'"&amp;AN6&amp;"'"&amp;"!A:A"),"总价",INDIRECT("'"&amp;AN6&amp;"'"&amp;"!B:B"))</f>
        <v>13418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3.8">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3.8">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3.8">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3.8">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3.8">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3.8">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3.8">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4">
      <c r="A14" s="2312" t="s">
        <v>2012</v>
      </c>
      <c r="B14" s="2308" t="s">
        <v>2013</v>
      </c>
      <c r="C14" s="2313" t="s">
        <v>2012</v>
      </c>
      <c r="D14" s="1054"/>
      <c r="E14" s="1051"/>
      <c r="F14" s="72"/>
      <c r="G14" s="73"/>
      <c r="H14" s="1253"/>
      <c r="I14" s="1253"/>
      <c r="J14" s="1253"/>
      <c r="K14" s="1254">
        <f>SUMIF('数据-汇总表'!C$19:C$33,A14,'数据-汇总表'!E$19:E$33)</f>
        <v>0</v>
      </c>
      <c r="L14" s="91">
        <v>2000</v>
      </c>
      <c r="M14" s="75">
        <f t="shared" si="0"/>
        <v>0</v>
      </c>
      <c r="N14" s="92">
        <f>N6</f>
        <v>0.73</v>
      </c>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8.8">
      <c r="A15" s="2312" t="s">
        <v>2014</v>
      </c>
      <c r="B15" s="2308" t="s">
        <v>2013</v>
      </c>
      <c r="C15" s="2313" t="s">
        <v>2015</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 thickBot="1">
      <c r="A16" s="2314" t="s">
        <v>2016</v>
      </c>
      <c r="B16" s="97"/>
      <c r="C16" s="1008"/>
      <c r="D16" s="2315"/>
      <c r="E16" s="97"/>
      <c r="F16" s="97"/>
      <c r="G16" s="98">
        <f>ROUND(SUMPRODUCT(G6:G13,K6:K13)/SUMPRODUCT((G6:G13&gt;0)*(K6:K13)),3)</f>
        <v>0.79500000000000004</v>
      </c>
      <c r="H16" s="99">
        <f>ROUND(SUMPRODUCT(H6:H13,K6:K13)/SUMPRODUCT((H6:H13&gt;0)*(K6:K13)),3)</f>
        <v>0.05</v>
      </c>
      <c r="I16" s="100"/>
      <c r="J16" s="100"/>
      <c r="K16" s="101">
        <f>SUM(K6:K15)</f>
        <v>7727.4000000000005</v>
      </c>
      <c r="L16" s="102">
        <f>ROUND(M16*10000/SUM(K6:K14),0)</f>
        <v>2800</v>
      </c>
      <c r="M16" s="102">
        <f>SUM(M6:M14)</f>
        <v>2164</v>
      </c>
      <c r="N16" s="103">
        <f>ROUND(SUMPRODUCT(M6:M14,N6:N14)/M16,3)</f>
        <v>0.73</v>
      </c>
      <c r="O16" s="102">
        <f>SUM(O6:O14)</f>
        <v>0</v>
      </c>
      <c r="P16" s="102">
        <f>SUM(P6:P14)</f>
        <v>0</v>
      </c>
      <c r="Q16" s="104">
        <f>ROUND(SUMPRODUCT(Q6:Q13,K6:K13)/SUMPRODUCT((Q6:Q13&gt;0)*(K6:K13)),2)</f>
        <v>0.15</v>
      </c>
      <c r="R16" s="1258">
        <f ca="1">SUM(R6:R13)</f>
        <v>1742.42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4">
      <c r="A19" s="2317" t="s">
        <v>2018</v>
      </c>
      <c r="B19" s="112">
        <v>0</v>
      </c>
      <c r="C19" s="2278" t="s">
        <v>2019</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4">
      <c r="A20" s="2318" t="s">
        <v>2020</v>
      </c>
      <c r="B20" s="113">
        <v>1</v>
      </c>
      <c r="C20" s="2278" t="s">
        <v>2021</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4">
      <c r="A21" s="2319" t="s">
        <v>2022</v>
      </c>
      <c r="B21" s="113">
        <v>1</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4">
      <c r="A22" s="2318" t="s">
        <v>2023</v>
      </c>
      <c r="B22" s="114">
        <f>B19+B20</f>
        <v>1</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4">
      <c r="A23" s="2319" t="s">
        <v>2024</v>
      </c>
      <c r="B23" s="114">
        <f>B19+B21</f>
        <v>1</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2025</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4.4"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2026</v>
      </c>
      <c r="B26" s="2321" t="s">
        <v>2027</v>
      </c>
      <c r="C26" s="2322" t="s">
        <v>2028</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8.8">
      <c r="A27" s="2323" t="s">
        <v>2029</v>
      </c>
      <c r="B27" s="116">
        <v>160</v>
      </c>
      <c r="C27" s="1766" t="s">
        <v>2030</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8.8">
      <c r="A28" s="2326" t="s">
        <v>2031</v>
      </c>
      <c r="B28" s="119">
        <v>190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9.4" thickBot="1">
      <c r="A29" s="2328" t="s">
        <v>2032</v>
      </c>
      <c r="B29" s="121">
        <f>ROUND(B28*K16/10000,0)</f>
        <v>147</v>
      </c>
      <c r="C29" s="1766" t="s">
        <v>2033</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8.8">
      <c r="A30" s="2329" t="s">
        <v>2034</v>
      </c>
      <c r="B30" s="724">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8.8">
      <c r="A31" s="2326" t="s">
        <v>2035</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9.4" thickBot="1">
      <c r="A32" s="2330" t="s">
        <v>2036</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4">
      <c r="A33" s="2323" t="s">
        <v>2037</v>
      </c>
      <c r="B33" s="726">
        <v>0.05</v>
      </c>
      <c r="C33" s="1765" t="s">
        <v>2038</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4">
      <c r="A34" s="2326" t="s">
        <v>2039</v>
      </c>
      <c r="B34" s="122">
        <v>0</v>
      </c>
      <c r="C34" s="1765" t="s">
        <v>2040</v>
      </c>
      <c r="D34" s="2279" t="s">
        <v>2041</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4">
      <c r="A35" s="2326" t="s">
        <v>2042</v>
      </c>
      <c r="B35" s="119">
        <v>150</v>
      </c>
      <c r="C35" s="1765" t="s">
        <v>2043</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2044</v>
      </c>
      <c r="B36" s="123">
        <v>1.4999999999999999E-2</v>
      </c>
      <c r="C36" s="1765" t="s">
        <v>2045</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4">
      <c r="A37" s="2329" t="s">
        <v>2046</v>
      </c>
      <c r="B37" s="124">
        <v>0.02</v>
      </c>
      <c r="C37" s="1765" t="s">
        <v>2047</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4">
      <c r="A38" s="2326" t="s">
        <v>2048</v>
      </c>
      <c r="B38" s="122">
        <v>0.02</v>
      </c>
      <c r="C38" s="1765" t="s">
        <v>2047</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4">
      <c r="A39" s="2330" t="s">
        <v>2049</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2050</v>
      </c>
      <c r="B40" s="1303">
        <f ca="1">存贷款利率!G1</f>
        <v>4.3499999999999997E-2</v>
      </c>
      <c r="C40" s="1765" t="s">
        <v>2051</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4">
      <c r="A41" s="2323" t="s">
        <v>2052</v>
      </c>
      <c r="B41" s="125">
        <f>B42+B43</f>
        <v>5.6000000000000001E-2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4">
      <c r="A42" s="2331" t="s">
        <v>2053</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4">
      <c r="A43" s="2331" t="s">
        <v>2054</v>
      </c>
      <c r="B43" s="127">
        <f>B42*(B44+B45+B46)+B47</f>
        <v>6.000000000000001E-3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4">
      <c r="A44" s="2333" t="s">
        <v>2055</v>
      </c>
      <c r="B44" s="128">
        <v>7.0000000000000007E-2</v>
      </c>
      <c r="C44" s="1765" t="s">
        <v>2056</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4">
      <c r="A45" s="2333" t="s">
        <v>2057</v>
      </c>
      <c r="B45" s="126">
        <v>0.03</v>
      </c>
      <c r="C45" s="1766" t="s">
        <v>2058</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4">
      <c r="A46" s="2333" t="s">
        <v>2059</v>
      </c>
      <c r="B46" s="126">
        <v>0.02</v>
      </c>
      <c r="C46" s="1766" t="s">
        <v>2060</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2061</v>
      </c>
      <c r="B47" s="129"/>
      <c r="C47" s="1766" t="s">
        <v>2062</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4">
      <c r="A48" s="2335" t="s">
        <v>2063</v>
      </c>
      <c r="B48" s="130">
        <v>0.03</v>
      </c>
      <c r="C48" s="1773" t="s">
        <v>2064</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2065</v>
      </c>
      <c r="B49" s="126">
        <v>5.0000000000000001E-4</v>
      </c>
      <c r="C49" s="1773" t="s">
        <v>2066</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4">
      <c r="A50" s="2336" t="s">
        <v>2067</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2068</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4">
      <c r="A52" s="2336" t="s">
        <v>2069</v>
      </c>
      <c r="B52" s="133">
        <f>SUMIF(A54:A63,B53,B54:B63)</f>
        <v>24</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8.8">
      <c r="A53" s="2326" t="s">
        <v>2070</v>
      </c>
      <c r="B53" s="2337" t="s">
        <v>269</v>
      </c>
      <c r="C53" s="1429" t="s">
        <v>2071</v>
      </c>
      <c r="D53" s="2338" t="s">
        <v>2072</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4">
      <c r="A54" s="2339" t="s">
        <v>2073</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4">
      <c r="A55" s="2339" t="s">
        <v>2074</v>
      </c>
      <c r="B55" s="84">
        <v>24</v>
      </c>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4">
      <c r="A56" s="2339" t="s">
        <v>2075</v>
      </c>
      <c r="B56" s="84">
        <v>18</v>
      </c>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4">
      <c r="A57" s="2339" t="s">
        <v>2076</v>
      </c>
      <c r="B57" s="84">
        <v>12</v>
      </c>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4">
      <c r="A58" s="2339" t="s">
        <v>2077</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4">
      <c r="A59" s="2339" t="s">
        <v>2078</v>
      </c>
      <c r="B59" s="84"/>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4">
      <c r="A60" s="2339" t="s">
        <v>2079</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4">
      <c r="A61" s="2339" t="s">
        <v>2080</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4">
      <c r="A62" s="2339" t="s">
        <v>2081</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2082</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0" customWidth="1"/>
    <col min="2" max="2" width="24.44140625" style="2418" customWidth="1"/>
    <col min="3" max="3" width="24.44140625" style="2417" customWidth="1"/>
    <col min="4" max="4" width="2.6640625" style="2417" customWidth="1"/>
    <col min="5" max="5" width="5.88671875" style="2417" customWidth="1"/>
    <col min="6" max="6" width="27" style="2418" customWidth="1"/>
    <col min="7" max="7" width="27" style="2419" customWidth="1"/>
    <col min="8" max="8" width="11.88671875" style="2397" customWidth="1"/>
    <col min="9" max="9" width="16.77734375" style="2398" customWidth="1"/>
    <col min="10" max="10" width="2.6640625" style="2397" customWidth="1"/>
    <col min="11" max="11" width="11.88671875" style="2397" customWidth="1"/>
    <col min="12" max="12" width="16.77734375" style="2398" customWidth="1"/>
    <col min="13" max="13" width="2.6640625" style="2397" customWidth="1"/>
    <col min="14" max="14" width="11.88671875" style="2397" customWidth="1"/>
    <col min="15" max="15" width="16.77734375" style="2398" customWidth="1"/>
    <col min="16" max="16" width="2.6640625" style="2397" customWidth="1"/>
    <col min="17" max="17" width="11.88671875" style="2397" customWidth="1"/>
    <col min="18" max="18" width="16.77734375" style="2399" customWidth="1"/>
    <col min="19" max="29" width="9" style="2369"/>
    <col min="30" max="16384" width="9" style="2370"/>
  </cols>
  <sheetData>
    <row r="1" spans="1:29" s="2363" customFormat="1" ht="18" thickBot="1">
      <c r="A1" s="3036" t="s">
        <v>2083</v>
      </c>
      <c r="B1" s="3037"/>
      <c r="C1" s="3037"/>
      <c r="D1" s="3037"/>
      <c r="E1" s="3037"/>
      <c r="F1" s="3037"/>
      <c r="G1" s="303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 thickBot="1">
      <c r="A2" s="2364"/>
      <c r="B2" s="2365"/>
      <c r="C2" s="2366" t="s">
        <v>2084</v>
      </c>
      <c r="D2" s="2367"/>
      <c r="E2" s="2368"/>
      <c r="F2" s="2287"/>
      <c r="G2" s="2366" t="s">
        <v>2085</v>
      </c>
      <c r="H2" s="2369"/>
      <c r="I2" s="2369"/>
      <c r="J2" s="2369"/>
      <c r="K2" s="2369"/>
      <c r="L2" s="2369"/>
      <c r="M2" s="2369"/>
      <c r="N2" s="2369"/>
      <c r="O2" s="2369"/>
      <c r="P2" s="2369"/>
      <c r="Q2" s="2369"/>
      <c r="R2" s="2369"/>
    </row>
    <row r="3" spans="1:29" ht="57.6">
      <c r="A3" s="415" t="s">
        <v>2086</v>
      </c>
      <c r="B3" s="1271" t="s">
        <v>2087</v>
      </c>
      <c r="C3" s="2371" t="s">
        <v>2088</v>
      </c>
      <c r="D3" s="2372"/>
      <c r="E3" s="431" t="s">
        <v>2086</v>
      </c>
      <c r="F3" s="2373" t="s">
        <v>2089</v>
      </c>
      <c r="G3" s="2374" t="s">
        <v>2090</v>
      </c>
      <c r="H3" s="2369"/>
      <c r="I3" s="2369"/>
      <c r="J3" s="2369"/>
      <c r="K3" s="2369"/>
      <c r="L3" s="2369"/>
      <c r="M3" s="2369"/>
      <c r="N3" s="2369"/>
      <c r="O3" s="2369"/>
      <c r="P3" s="2369"/>
      <c r="Q3" s="2369"/>
      <c r="R3" s="2369"/>
    </row>
    <row r="4" spans="1:29" ht="43.2">
      <c r="A4" s="431"/>
      <c r="B4" s="1797" t="s">
        <v>2091</v>
      </c>
      <c r="C4" s="2375" t="s">
        <v>2092</v>
      </c>
      <c r="D4" s="2372"/>
      <c r="E4" s="2376"/>
      <c r="F4" s="42" t="s">
        <v>2093</v>
      </c>
      <c r="G4" s="2377" t="s">
        <v>2094</v>
      </c>
      <c r="H4" s="2369"/>
      <c r="I4" s="2369"/>
      <c r="J4" s="2369"/>
      <c r="K4" s="2369"/>
      <c r="L4" s="2369"/>
      <c r="M4" s="2369"/>
      <c r="N4" s="2369"/>
      <c r="O4" s="2369"/>
      <c r="P4" s="2369"/>
      <c r="Q4" s="2369"/>
      <c r="R4" s="2369"/>
    </row>
    <row r="5" spans="1:29" ht="43.2">
      <c r="A5" s="431"/>
      <c r="B5" s="1797" t="s">
        <v>2095</v>
      </c>
      <c r="C5" s="2375" t="s">
        <v>2096</v>
      </c>
      <c r="D5" s="2372"/>
      <c r="E5" s="2376"/>
      <c r="F5" s="1797" t="s">
        <v>2097</v>
      </c>
      <c r="G5" s="2377" t="s">
        <v>2098</v>
      </c>
      <c r="H5" s="2369"/>
      <c r="I5" s="2369"/>
      <c r="J5" s="2369"/>
      <c r="K5" s="2369"/>
      <c r="L5" s="2369"/>
      <c r="M5" s="2369"/>
      <c r="N5" s="2369"/>
      <c r="O5" s="2369"/>
      <c r="P5" s="2369"/>
      <c r="Q5" s="2369"/>
      <c r="R5" s="2369"/>
    </row>
    <row r="6" spans="1:29" ht="57.6">
      <c r="A6" s="431"/>
      <c r="B6" s="1797" t="s">
        <v>2099</v>
      </c>
      <c r="C6" s="2377" t="s">
        <v>2094</v>
      </c>
      <c r="D6" s="2372"/>
      <c r="E6" s="2376"/>
      <c r="F6" s="1797" t="s">
        <v>2100</v>
      </c>
      <c r="G6" s="2377" t="s">
        <v>2101</v>
      </c>
      <c r="H6" s="2369"/>
      <c r="I6" s="2369"/>
      <c r="J6" s="2369"/>
      <c r="K6" s="2369"/>
      <c r="L6" s="2369"/>
      <c r="M6" s="2369"/>
      <c r="N6" s="2369"/>
      <c r="O6" s="2369"/>
      <c r="P6" s="2369"/>
      <c r="Q6" s="2369"/>
      <c r="R6" s="2369"/>
    </row>
    <row r="7" spans="1:29" ht="43.8" thickBot="1">
      <c r="A7" s="431"/>
      <c r="B7" s="1797" t="s">
        <v>2097</v>
      </c>
      <c r="C7" s="2377" t="s">
        <v>2098</v>
      </c>
      <c r="D7" s="2378"/>
      <c r="E7" s="2379"/>
      <c r="F7" s="2380" t="s">
        <v>2102</v>
      </c>
      <c r="G7" s="2381" t="s">
        <v>2103</v>
      </c>
      <c r="H7" s="2369"/>
      <c r="I7" s="2369"/>
      <c r="J7" s="2369"/>
      <c r="K7" s="2369"/>
      <c r="L7" s="2369"/>
      <c r="M7" s="2369"/>
      <c r="N7" s="2369"/>
      <c r="O7" s="2369"/>
      <c r="P7" s="2369"/>
      <c r="Q7" s="2369"/>
      <c r="R7" s="2369"/>
    </row>
    <row r="8" spans="1:29" ht="28.8">
      <c r="A8" s="431"/>
      <c r="B8" s="1797" t="s">
        <v>2100</v>
      </c>
      <c r="C8" s="2377" t="s">
        <v>2101</v>
      </c>
      <c r="D8" s="2378"/>
      <c r="E8" s="2378"/>
      <c r="F8" s="1136"/>
      <c r="G8" s="1136"/>
      <c r="H8" s="2369"/>
      <c r="I8" s="2369"/>
      <c r="J8" s="2369"/>
      <c r="K8" s="2369"/>
      <c r="L8" s="2369"/>
      <c r="M8" s="2369"/>
      <c r="N8" s="2369"/>
      <c r="O8" s="2369"/>
      <c r="P8" s="2369"/>
      <c r="Q8" s="2369"/>
      <c r="R8" s="2369"/>
    </row>
    <row r="9" spans="1:29" ht="43.2">
      <c r="A9" s="431"/>
      <c r="B9" s="1797" t="s">
        <v>2104</v>
      </c>
      <c r="C9" s="2375" t="s">
        <v>2105</v>
      </c>
      <c r="D9" s="2372"/>
      <c r="E9" s="2378"/>
      <c r="F9" s="1136"/>
      <c r="G9" s="1136"/>
      <c r="H9" s="2369"/>
      <c r="I9" s="2369"/>
      <c r="J9" s="2369"/>
      <c r="K9" s="2369"/>
      <c r="L9" s="2369"/>
      <c r="M9" s="2369"/>
      <c r="N9" s="2369"/>
      <c r="O9" s="2369"/>
      <c r="P9" s="2369"/>
      <c r="Q9" s="2369"/>
      <c r="R9" s="2369"/>
    </row>
    <row r="10" spans="1:29" s="117" customFormat="1" ht="15" thickBot="1">
      <c r="A10" s="2382"/>
      <c r="B10" s="2383" t="s">
        <v>2106</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7.399999999999999">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8" thickBot="1">
      <c r="A13" s="2395" t="s">
        <v>2107</v>
      </c>
      <c r="B13" s="2389"/>
      <c r="C13" s="2389"/>
      <c r="D13" s="2396"/>
      <c r="E13" s="2389"/>
      <c r="F13" s="2389"/>
      <c r="G13" s="2389"/>
    </row>
    <row r="14" spans="1:29" ht="15" thickBot="1">
      <c r="A14" s="2400"/>
      <c r="B14" s="2401"/>
      <c r="C14" s="2402" t="s">
        <v>2108</v>
      </c>
      <c r="D14" s="2372"/>
      <c r="E14" s="2403"/>
      <c r="F14" s="2403"/>
      <c r="G14" s="2366" t="s">
        <v>2109</v>
      </c>
    </row>
    <row r="15" spans="1:29" ht="55.2">
      <c r="A15" s="68" t="s">
        <v>2110</v>
      </c>
      <c r="B15" s="1270" t="s">
        <v>2087</v>
      </c>
      <c r="C15" s="2404" t="str">
        <f>C3</f>
        <v>估价对象周边居住用地比例、居住小区规模和社区发展完善程度，综合评价居住社区成熟度一般</v>
      </c>
      <c r="D15" s="2372"/>
      <c r="E15" s="2405" t="s">
        <v>2111</v>
      </c>
      <c r="F15" s="1270" t="s">
        <v>2112</v>
      </c>
      <c r="G15" s="135" t="str">
        <f>G3</f>
        <v>估价对象位于XX开发区，园区建设成熟度XX，产业集聚程度XX</v>
      </c>
    </row>
    <row r="16" spans="1:29" ht="41.4">
      <c r="A16" s="645"/>
      <c r="B16" s="2406" t="s">
        <v>2091</v>
      </c>
      <c r="C16" s="2407" t="str">
        <f>C4</f>
        <v>估价对象位于XX商圈，周边商业氛围成熟，人流量大，商业繁华度好</v>
      </c>
      <c r="D16" s="2372"/>
      <c r="E16" s="2408"/>
      <c r="F16" s="2409" t="s">
        <v>2093</v>
      </c>
      <c r="G16" s="136" t="str">
        <f>G4</f>
        <v>估价对象周边道路状况、公共交通通达情况、停车便捷程度，综合评价交通便捷度较好</v>
      </c>
    </row>
    <row r="17" spans="1:18" ht="41.4">
      <c r="A17" s="645"/>
      <c r="B17" s="2406" t="s">
        <v>2095</v>
      </c>
      <c r="C17" s="2407" t="str">
        <f>C5</f>
        <v>估价对象位于XX商圈，周边办公楼项目较多，入驻率高，办公集聚程度较好</v>
      </c>
      <c r="D17" s="2378"/>
      <c r="E17" s="2408"/>
      <c r="F17" s="2409" t="s">
        <v>2113</v>
      </c>
      <c r="G17" s="1571"/>
    </row>
    <row r="18" spans="1:18" ht="55.2">
      <c r="A18" s="645"/>
      <c r="B18" s="2409" t="s">
        <v>2099</v>
      </c>
      <c r="C18" s="136" t="str">
        <f>C6</f>
        <v>估价对象周边道路状况、公共交通通达情况、停车便捷程度，综合评价交通便捷度较好</v>
      </c>
      <c r="D18" s="2378"/>
      <c r="E18" s="2408"/>
      <c r="F18" s="2409" t="s">
        <v>2102</v>
      </c>
      <c r="G18" s="136" t="str">
        <f>G7</f>
        <v>该园区内是否有污染型企业，绿化情况，卫生条件，整体环境状况判断</v>
      </c>
    </row>
    <row r="19" spans="1:18" ht="27.6">
      <c r="A19" s="645"/>
      <c r="B19" s="2409" t="s">
        <v>2114</v>
      </c>
      <c r="C19" s="1571"/>
      <c r="D19" s="2372"/>
      <c r="E19" s="2408"/>
      <c r="F19" s="1797" t="s">
        <v>2097</v>
      </c>
      <c r="G19" s="136" t="str">
        <f>G5</f>
        <v>估价对象所在区域公共配套设施齐备情况</v>
      </c>
    </row>
    <row r="20" spans="1:18" ht="41.4">
      <c r="A20" s="645"/>
      <c r="B20" s="2409" t="s">
        <v>2115</v>
      </c>
      <c r="C20" s="2407" t="str">
        <f>C9</f>
        <v>区域自然环境：；人文环境；综合评价环境状况一般</v>
      </c>
      <c r="D20" s="2378"/>
      <c r="E20" s="2408"/>
      <c r="F20" s="1797" t="s">
        <v>2116</v>
      </c>
      <c r="G20" s="136" t="str">
        <f>G6</f>
        <v>估价对象所在区域基础设施水平</v>
      </c>
    </row>
    <row r="21" spans="1:18" ht="27.6">
      <c r="A21" s="645"/>
      <c r="B21" s="1797" t="s">
        <v>2097</v>
      </c>
      <c r="C21" s="136" t="str">
        <f>C7</f>
        <v>估价对象所在区域公共配套设施齐备情况</v>
      </c>
      <c r="D21" s="2372"/>
      <c r="E21" s="2408"/>
      <c r="F21" s="2409" t="s">
        <v>2117</v>
      </c>
      <c r="G21" s="2410"/>
    </row>
    <row r="22" spans="1:18" ht="13.5" customHeight="1">
      <c r="A22" s="645"/>
      <c r="B22" s="1797" t="s">
        <v>2100</v>
      </c>
      <c r="C22" s="136" t="str">
        <f>C8</f>
        <v>估价对象所在区域基础设施水平</v>
      </c>
      <c r="D22" s="2372"/>
      <c r="E22" s="2408"/>
      <c r="F22" s="2409" t="s">
        <v>2106</v>
      </c>
      <c r="G22" s="1571"/>
    </row>
    <row r="23" spans="1:18" s="2369" customFormat="1" ht="1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69" customFormat="1" ht="1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9" sqref="G19"/>
    </sheetView>
  </sheetViews>
  <sheetFormatPr defaultColWidth="9" defaultRowHeight="14.4"/>
  <cols>
    <col min="1" max="1" width="23.33203125" style="1740" customWidth="1"/>
    <col min="2" max="9" width="15.77734375" style="1740" customWidth="1"/>
    <col min="10" max="16384" width="9" style="1740"/>
  </cols>
  <sheetData>
    <row r="1" spans="1:10" ht="16.2">
      <c r="A1" s="1745" t="s">
        <v>1365</v>
      </c>
      <c r="B1" s="1745">
        <f>SUM(B14:B23)</f>
        <v>7727.4000000000015</v>
      </c>
      <c r="C1" s="1744"/>
      <c r="D1" s="1744"/>
      <c r="E1" s="1744"/>
      <c r="F1" s="1744"/>
      <c r="G1" s="1742"/>
    </row>
    <row r="2" spans="1:10" ht="16.2">
      <c r="A2" s="1745" t="s">
        <v>1353</v>
      </c>
      <c r="B2" s="1745">
        <f>SUM(C14:C23)</f>
        <v>1742.42</v>
      </c>
      <c r="C2" s="1744"/>
      <c r="D2" s="1744"/>
      <c r="E2" s="1744"/>
      <c r="F2" s="1744"/>
      <c r="G2" s="1742"/>
    </row>
    <row r="3" spans="1:10" ht="15.6">
      <c r="A3" s="1745" t="s">
        <v>1362</v>
      </c>
      <c r="B3" s="1746">
        <f>项目基本情况!D3</f>
        <v>43269</v>
      </c>
      <c r="C3" s="1744"/>
      <c r="D3" s="1744"/>
      <c r="E3" s="1744"/>
      <c r="F3" s="1744"/>
      <c r="G3" s="1742"/>
    </row>
    <row r="4" spans="1:10" ht="31.2">
      <c r="A4" s="1745" t="s">
        <v>1361</v>
      </c>
      <c r="B4" s="1745" t="s">
        <v>1360</v>
      </c>
      <c r="C4" s="1745" t="s">
        <v>1359</v>
      </c>
      <c r="D4" s="1745" t="s">
        <v>1358</v>
      </c>
      <c r="E4" s="1744"/>
      <c r="F4" s="1742"/>
      <c r="G4" s="1742"/>
    </row>
    <row r="5" spans="1:10" ht="15.6">
      <c r="A5" s="1745" t="s">
        <v>1357</v>
      </c>
      <c r="B5" s="1745">
        <f ca="1">SUM(D14:D23)</f>
        <v>14021</v>
      </c>
      <c r="C5" s="1745">
        <f ca="1">ROUND(B5*10000/$B$1,0)</f>
        <v>18145</v>
      </c>
      <c r="D5" s="1745">
        <f ca="1">ROUND(B5*10000/$B$2,0)</f>
        <v>80469</v>
      </c>
      <c r="E5" s="1744"/>
      <c r="F5" s="1742"/>
      <c r="G5" s="1742"/>
    </row>
    <row r="6" spans="1:10" ht="15.6">
      <c r="A6" s="1745" t="s">
        <v>1356</v>
      </c>
      <c r="B6" s="1745">
        <f ca="1">SUM(G14:G23)</f>
        <v>14021</v>
      </c>
      <c r="C6" s="1745">
        <f ca="1">ROUND(B6*10000/$B$1,0)</f>
        <v>18145</v>
      </c>
      <c r="D6" s="1745">
        <f ca="1">ROUND(B6*10000/$B$2,0)</f>
        <v>80469</v>
      </c>
      <c r="E6" s="1744"/>
      <c r="F6" s="1742"/>
      <c r="G6" s="1742"/>
    </row>
    <row r="7" spans="1:10" ht="15.6">
      <c r="A7" s="1745" t="s">
        <v>1364</v>
      </c>
      <c r="B7" s="1745">
        <f>SUM(H14:H23)</f>
        <v>0</v>
      </c>
      <c r="C7" s="1745">
        <f>ROUND(B7*10000/$B$1,0)</f>
        <v>0</v>
      </c>
      <c r="D7" s="1745">
        <f>ROUND(B7*10000/$B$2,0)</f>
        <v>0</v>
      </c>
      <c r="E7" s="1744"/>
      <c r="F7" s="1742"/>
      <c r="G7" s="1742"/>
    </row>
    <row r="8" spans="1:10" ht="15.6">
      <c r="A8" s="1745" t="s">
        <v>1285</v>
      </c>
      <c r="B8" s="1745">
        <f>SUM(I14:I23)</f>
        <v>0</v>
      </c>
      <c r="C8" s="1745">
        <f>ROUND(B8*10000/$B$1,0)</f>
        <v>0</v>
      </c>
      <c r="D8" s="1745">
        <f>ROUND(B8*10000/$B$2,0)</f>
        <v>0</v>
      </c>
      <c r="E8" s="1744"/>
      <c r="F8" s="1742"/>
      <c r="G8" s="1742"/>
    </row>
    <row r="9" spans="1:10" ht="15.6">
      <c r="A9" s="1745" t="s">
        <v>1355</v>
      </c>
      <c r="B9" s="1747"/>
      <c r="C9" s="1744"/>
      <c r="D9" s="1744"/>
      <c r="E9" s="1744"/>
      <c r="F9" s="1742"/>
      <c r="G9" s="1742"/>
    </row>
    <row r="10" spans="1:10" ht="15.6">
      <c r="A10" s="1745" t="s">
        <v>1354</v>
      </c>
      <c r="B10" s="1747"/>
      <c r="C10" s="1744"/>
      <c r="D10" s="1744"/>
      <c r="E10" s="1744"/>
      <c r="F10" s="1742"/>
      <c r="G10" s="1742"/>
    </row>
    <row r="11" spans="1:10" ht="15.6">
      <c r="A11" s="1745" t="s">
        <v>1370</v>
      </c>
      <c r="B11" s="1747"/>
      <c r="C11" s="1744"/>
      <c r="D11" s="1744"/>
      <c r="E11" s="1744"/>
      <c r="F11" s="1742"/>
      <c r="G11" s="1742"/>
    </row>
    <row r="12" spans="1:10" ht="15.6">
      <c r="A12" s="1744"/>
      <c r="B12" s="1744"/>
      <c r="C12" s="1744"/>
      <c r="D12" s="1744"/>
      <c r="E12" s="1744"/>
      <c r="F12" s="1742"/>
      <c r="G12" s="1742"/>
    </row>
    <row r="13" spans="1:10" ht="31.8">
      <c r="A13" s="1750" t="s">
        <v>1369</v>
      </c>
      <c r="B13" s="1743" t="s">
        <v>1366</v>
      </c>
      <c r="C13" s="1743" t="s">
        <v>1368</v>
      </c>
      <c r="D13" s="1743" t="s">
        <v>1367</v>
      </c>
      <c r="E13" s="1745" t="s">
        <v>1359</v>
      </c>
      <c r="F13" s="1745" t="s">
        <v>1358</v>
      </c>
      <c r="G13" s="1743" t="s">
        <v>1352</v>
      </c>
      <c r="H13" s="1743" t="s">
        <v>1363</v>
      </c>
      <c r="I13" s="1743" t="s">
        <v>1351</v>
      </c>
      <c r="J13" s="1742"/>
    </row>
    <row r="14" spans="1:10" ht="15.6">
      <c r="A14" s="1741" t="s">
        <v>1350</v>
      </c>
      <c r="B14" s="1743">
        <f>结果表!B118</f>
        <v>7727.4000000000015</v>
      </c>
      <c r="C14" s="1743">
        <f>结果表!C118</f>
        <v>1742.42</v>
      </c>
      <c r="D14" s="1743">
        <f ca="1">结果表!H118</f>
        <v>14021</v>
      </c>
      <c r="E14" s="1743">
        <f ca="1">ROUND(D14*10000/B14,0)</f>
        <v>18145</v>
      </c>
      <c r="F14" s="1743">
        <f ca="1">ROUND(D14*10000/C14,0)</f>
        <v>80469</v>
      </c>
      <c r="G14" s="1743">
        <f ca="1">结果表!D122</f>
        <v>14021</v>
      </c>
      <c r="H14" s="1743" t="str">
        <f>结果表!D124</f>
        <v>——</v>
      </c>
      <c r="I14" s="1743" t="str">
        <f>结果表!D126</f>
        <v>——</v>
      </c>
      <c r="J14" s="1742"/>
    </row>
    <row r="15" spans="1:10" ht="15.6">
      <c r="A15" s="1741" t="s">
        <v>1349</v>
      </c>
      <c r="B15" s="1748"/>
      <c r="C15" s="1748"/>
      <c r="D15" s="1748"/>
      <c r="E15" s="1743" t="e">
        <f t="shared" ref="E15:E23" si="0">ROUND(D15*10000/B15,0)</f>
        <v>#DIV/0!</v>
      </c>
      <c r="F15" s="1743" t="e">
        <f t="shared" ref="F15:F23" si="1">ROUND(D15*10000/C15,0)</f>
        <v>#DIV/0!</v>
      </c>
      <c r="G15" s="1749"/>
      <c r="H15" s="1749"/>
      <c r="I15" s="1748"/>
      <c r="J15" s="1742"/>
    </row>
    <row r="16" spans="1:10" ht="15.6">
      <c r="A16" s="1741" t="s">
        <v>1348</v>
      </c>
      <c r="B16" s="1748"/>
      <c r="C16" s="1748"/>
      <c r="D16" s="1748"/>
      <c r="E16" s="1743" t="e">
        <f t="shared" si="0"/>
        <v>#DIV/0!</v>
      </c>
      <c r="F16" s="1743" t="e">
        <f t="shared" si="1"/>
        <v>#DIV/0!</v>
      </c>
      <c r="G16" s="1749"/>
      <c r="H16" s="1749"/>
      <c r="I16" s="1748"/>
    </row>
    <row r="17" spans="1:9" ht="15.6">
      <c r="A17" s="1741" t="s">
        <v>1347</v>
      </c>
      <c r="B17" s="1748"/>
      <c r="C17" s="1748"/>
      <c r="D17" s="1748"/>
      <c r="E17" s="1743" t="e">
        <f t="shared" si="0"/>
        <v>#DIV/0!</v>
      </c>
      <c r="F17" s="1743" t="e">
        <f t="shared" si="1"/>
        <v>#DIV/0!</v>
      </c>
      <c r="G17" s="1749"/>
      <c r="H17" s="1749"/>
      <c r="I17" s="1748"/>
    </row>
    <row r="18" spans="1:9" ht="15.6">
      <c r="A18" s="1741" t="s">
        <v>1346</v>
      </c>
      <c r="B18" s="1748"/>
      <c r="C18" s="1748"/>
      <c r="D18" s="1748"/>
      <c r="E18" s="1743" t="e">
        <f t="shared" si="0"/>
        <v>#DIV/0!</v>
      </c>
      <c r="F18" s="1743" t="e">
        <f t="shared" si="1"/>
        <v>#DIV/0!</v>
      </c>
      <c r="G18" s="1748"/>
      <c r="H18" s="1748"/>
      <c r="I18" s="1748"/>
    </row>
    <row r="19" spans="1:9" ht="15.6">
      <c r="A19" s="1741" t="s">
        <v>1345</v>
      </c>
      <c r="B19" s="1748"/>
      <c r="C19" s="1748"/>
      <c r="D19" s="1748"/>
      <c r="E19" s="1743" t="e">
        <f t="shared" si="0"/>
        <v>#DIV/0!</v>
      </c>
      <c r="F19" s="1743" t="e">
        <f t="shared" si="1"/>
        <v>#DIV/0!</v>
      </c>
      <c r="G19" s="1748"/>
      <c r="H19" s="1748"/>
      <c r="I19" s="1748"/>
    </row>
    <row r="20" spans="1:9" ht="15.6">
      <c r="A20" s="1741" t="s">
        <v>1344</v>
      </c>
      <c r="B20" s="1748"/>
      <c r="C20" s="1748"/>
      <c r="D20" s="1748"/>
      <c r="E20" s="1743" t="e">
        <f t="shared" si="0"/>
        <v>#DIV/0!</v>
      </c>
      <c r="F20" s="1743" t="e">
        <f t="shared" si="1"/>
        <v>#DIV/0!</v>
      </c>
      <c r="G20" s="1748"/>
      <c r="H20" s="1748"/>
      <c r="I20" s="1748"/>
    </row>
    <row r="21" spans="1:9" ht="15.6">
      <c r="A21" s="1741" t="s">
        <v>1343</v>
      </c>
      <c r="B21" s="1748"/>
      <c r="C21" s="1748"/>
      <c r="D21" s="1748"/>
      <c r="E21" s="1743" t="e">
        <f t="shared" si="0"/>
        <v>#DIV/0!</v>
      </c>
      <c r="F21" s="1743" t="e">
        <f t="shared" si="1"/>
        <v>#DIV/0!</v>
      </c>
      <c r="G21" s="1748"/>
      <c r="H21" s="1748"/>
      <c r="I21" s="1748"/>
    </row>
    <row r="22" spans="1:9" ht="15.6">
      <c r="A22" s="1741" t="s">
        <v>1342</v>
      </c>
      <c r="B22" s="1748"/>
      <c r="C22" s="1748"/>
      <c r="D22" s="1748"/>
      <c r="E22" s="1743" t="e">
        <f t="shared" si="0"/>
        <v>#DIV/0!</v>
      </c>
      <c r="F22" s="1743" t="e">
        <f t="shared" si="1"/>
        <v>#DIV/0!</v>
      </c>
      <c r="G22" s="1748"/>
      <c r="H22" s="1748"/>
      <c r="I22" s="1748"/>
    </row>
    <row r="23" spans="1:9" ht="15.6">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F116" zoomScaleNormal="100" zoomScaleSheetLayoutView="100" zoomScalePageLayoutView="80" workbookViewId="0">
      <selection activeCell="J125" sqref="J125"/>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6" t="s">
        <v>2120</v>
      </c>
      <c r="B1" s="2420"/>
      <c r="C1" s="2421"/>
      <c r="D1" s="2420"/>
      <c r="E1" s="2420"/>
      <c r="F1" s="2422" t="s">
        <v>2121</v>
      </c>
      <c r="G1" s="2071" t="s">
        <v>3061</v>
      </c>
      <c r="H1" s="2423" t="str">
        <f>IF(G1="现房","——","估价对象范围")</f>
        <v>——</v>
      </c>
      <c r="I1" s="2424" t="s">
        <v>3090</v>
      </c>
    </row>
    <row r="2" spans="1:12" ht="21.75" customHeight="1" thickBot="1">
      <c r="A2" s="3110" t="str">
        <f>项目基本情况!S2</f>
        <v>北京市丰台区右安门外玉林里45号楼房地产</v>
      </c>
      <c r="B2" s="3111"/>
      <c r="C2" s="3111"/>
      <c r="D2" s="3111"/>
      <c r="E2" s="3111"/>
      <c r="F2" s="3111"/>
      <c r="G2" s="3111"/>
      <c r="H2" s="3111"/>
      <c r="I2" s="3112"/>
    </row>
    <row r="3" spans="1:12" ht="13.2">
      <c r="A3" s="3113" t="s">
        <v>2122</v>
      </c>
      <c r="B3" s="3114"/>
      <c r="C3" s="3114"/>
      <c r="D3" s="3114"/>
      <c r="E3" s="3114"/>
      <c r="F3" s="3114"/>
      <c r="G3" s="3114"/>
      <c r="H3" s="3114"/>
      <c r="I3" s="3114"/>
    </row>
    <row r="4" spans="1:12" ht="14.4">
      <c r="A4" s="2427" t="s">
        <v>2123</v>
      </c>
      <c r="B4" s="2428" t="s">
        <v>2124</v>
      </c>
      <c r="C4" s="2429" t="s">
        <v>3089</v>
      </c>
      <c r="D4" s="2429" t="s">
        <v>3071</v>
      </c>
      <c r="E4" s="3094" t="s">
        <v>2125</v>
      </c>
      <c r="F4" s="3107"/>
      <c r="G4" s="3107"/>
      <c r="H4" s="3107"/>
      <c r="I4" s="3095"/>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3.2">
      <c r="A5" s="3085" t="s">
        <v>2126</v>
      </c>
      <c r="B5" s="3011">
        <v>25</v>
      </c>
      <c r="C5" s="3115"/>
      <c r="D5" s="3103"/>
      <c r="E5" s="140" t="s">
        <v>2127</v>
      </c>
      <c r="F5" s="2431"/>
      <c r="G5" s="2431"/>
      <c r="H5" s="2431"/>
      <c r="I5" s="1833"/>
    </row>
    <row r="6" spans="1:12" ht="13.2">
      <c r="A6" s="3085"/>
      <c r="B6" s="3011"/>
      <c r="C6" s="3117"/>
      <c r="D6" s="3103"/>
      <c r="E6" s="140" t="s">
        <v>2128</v>
      </c>
      <c r="F6" s="2431"/>
      <c r="G6" s="2431"/>
      <c r="H6" s="2431"/>
      <c r="I6" s="1833"/>
    </row>
    <row r="7" spans="1:12" ht="13.2">
      <c r="A7" s="3085"/>
      <c r="B7" s="3011"/>
      <c r="C7" s="3116"/>
      <c r="D7" s="3103"/>
      <c r="E7" s="140" t="s">
        <v>2129</v>
      </c>
      <c r="F7" s="2431"/>
      <c r="G7" s="2431"/>
      <c r="H7" s="2431"/>
      <c r="I7" s="1833"/>
    </row>
    <row r="8" spans="1:12" ht="13.2">
      <c r="A8" s="3085" t="s">
        <v>2130</v>
      </c>
      <c r="B8" s="3011">
        <v>15</v>
      </c>
      <c r="C8" s="3115"/>
      <c r="D8" s="3103"/>
      <c r="E8" s="140" t="s">
        <v>2131</v>
      </c>
      <c r="F8" s="2431"/>
      <c r="G8" s="2431"/>
      <c r="H8" s="2431"/>
      <c r="I8" s="1833"/>
    </row>
    <row r="9" spans="1:12" ht="13.2">
      <c r="A9" s="3085"/>
      <c r="B9" s="3011"/>
      <c r="C9" s="3116"/>
      <c r="D9" s="3103"/>
      <c r="E9" s="140" t="s">
        <v>2132</v>
      </c>
      <c r="F9" s="2431"/>
      <c r="G9" s="2431"/>
      <c r="H9" s="2431"/>
      <c r="I9" s="1833"/>
    </row>
    <row r="10" spans="1:12" ht="13.2">
      <c r="A10" s="3085" t="s">
        <v>2133</v>
      </c>
      <c r="B10" s="3011">
        <v>15</v>
      </c>
      <c r="C10" s="3115"/>
      <c r="D10" s="3103"/>
      <c r="E10" s="140" t="s">
        <v>2134</v>
      </c>
      <c r="F10" s="2431"/>
      <c r="G10" s="2431"/>
      <c r="H10" s="2431"/>
      <c r="I10" s="1833"/>
    </row>
    <row r="11" spans="1:12" ht="13.2">
      <c r="A11" s="3085"/>
      <c r="B11" s="3011"/>
      <c r="C11" s="3116"/>
      <c r="D11" s="3103"/>
      <c r="E11" s="140" t="s">
        <v>2135</v>
      </c>
      <c r="F11" s="2431"/>
      <c r="G11" s="2431"/>
      <c r="H11" s="2431"/>
      <c r="I11" s="1833"/>
    </row>
    <row r="12" spans="1:12" ht="13.2">
      <c r="A12" s="3085" t="s">
        <v>2136</v>
      </c>
      <c r="B12" s="3011">
        <v>15</v>
      </c>
      <c r="C12" s="3115"/>
      <c r="D12" s="3103"/>
      <c r="E12" s="140" t="s">
        <v>2137</v>
      </c>
      <c r="F12" s="2431"/>
      <c r="G12" s="2431"/>
      <c r="H12" s="2431"/>
      <c r="I12" s="1833"/>
    </row>
    <row r="13" spans="1:12" ht="13.2">
      <c r="A13" s="3085"/>
      <c r="B13" s="3011"/>
      <c r="C13" s="3116"/>
      <c r="D13" s="3103"/>
      <c r="E13" s="140" t="s">
        <v>2138</v>
      </c>
      <c r="F13" s="2431"/>
      <c r="G13" s="2431"/>
      <c r="H13" s="2431"/>
      <c r="I13" s="1833"/>
    </row>
    <row r="14" spans="1:12" ht="13.2">
      <c r="A14" s="3085" t="s">
        <v>2139</v>
      </c>
      <c r="B14" s="3011">
        <v>30</v>
      </c>
      <c r="C14" s="3115">
        <v>5</v>
      </c>
      <c r="D14" s="3103">
        <v>5</v>
      </c>
      <c r="E14" s="140" t="s">
        <v>2140</v>
      </c>
      <c r="F14" s="2431"/>
      <c r="G14" s="2431"/>
      <c r="H14" s="2431"/>
      <c r="I14" s="1833"/>
    </row>
    <row r="15" spans="1:12" ht="13.2">
      <c r="A15" s="3085"/>
      <c r="B15" s="3011"/>
      <c r="C15" s="3117"/>
      <c r="D15" s="3103"/>
      <c r="E15" s="140" t="s">
        <v>2141</v>
      </c>
      <c r="F15" s="2431"/>
      <c r="G15" s="2431"/>
      <c r="H15" s="2431"/>
      <c r="I15" s="1833"/>
    </row>
    <row r="16" spans="1:12" ht="13.2">
      <c r="A16" s="3085"/>
      <c r="B16" s="3011"/>
      <c r="C16" s="3116"/>
      <c r="D16" s="3103"/>
      <c r="E16" s="140" t="s">
        <v>2142</v>
      </c>
      <c r="F16" s="2431"/>
      <c r="G16" s="2431"/>
      <c r="H16" s="2431"/>
      <c r="I16" s="1833"/>
    </row>
    <row r="17" spans="1:35" ht="14.4">
      <c r="A17" s="2432" t="s">
        <v>2143</v>
      </c>
      <c r="B17" s="64"/>
      <c r="C17" s="141">
        <f>SUM(C5:C16)</f>
        <v>5</v>
      </c>
      <c r="D17" s="141">
        <f>SUM(D5:D16)</f>
        <v>5</v>
      </c>
      <c r="E17" s="138"/>
      <c r="F17" s="138"/>
      <c r="G17" s="138"/>
      <c r="H17" s="138"/>
      <c r="I17" s="138"/>
      <c r="K17" s="2430"/>
      <c r="L17" s="2433" t="s">
        <v>2144</v>
      </c>
      <c r="M17" s="2433" t="s">
        <v>2145</v>
      </c>
    </row>
    <row r="18" spans="1:35" ht="1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7727.4000000000015</v>
      </c>
      <c r="M18" s="2430">
        <f>IF(C1="",'数据-汇总表'!E3,SUMIF(项目类型,C1,'数据-汇总表'!E17:E26))</f>
        <v>7727.4000000000015</v>
      </c>
    </row>
    <row r="19" spans="1:35" ht="14.4">
      <c r="A19" s="2436" t="s">
        <v>2148</v>
      </c>
      <c r="B19" s="2437" t="s">
        <v>2149</v>
      </c>
      <c r="C19" s="143">
        <f ca="1">SUMIF(INDIRECT("'"&amp;C4&amp;"'"&amp;"!A:A"),结果表!B19,INDIRECT("'"&amp;C4&amp;"'"&amp;"!B:B"))</f>
        <v>14623</v>
      </c>
      <c r="D19" s="144">
        <f ca="1">SUMIF(INDIRECT("'"&amp;D4&amp;"'"&amp;"!A:A"),结果表!B19,INDIRECT("'"&amp;D4&amp;"'"&amp;"!B:B"))</f>
        <v>13418</v>
      </c>
      <c r="E19" s="2436" t="s">
        <v>2150</v>
      </c>
      <c r="F19" s="2437" t="s">
        <v>2149</v>
      </c>
      <c r="G19" s="145">
        <f ca="1">ROUND(C19*$C$18+D19*$D$18,0)</f>
        <v>14021</v>
      </c>
      <c r="H19" s="2438" t="s">
        <v>2151</v>
      </c>
      <c r="I19" s="138"/>
      <c r="K19" s="2430" t="s">
        <v>2152</v>
      </c>
      <c r="L19" s="2430">
        <f>IF(C1="",'数据-汇总表'!D3,SUMIF(项目类型,C1,'数据-汇总表'!D17:D26)+SUMIF(项目类型,C1,'数据-汇总表'!H17:H27))</f>
        <v>1742.42</v>
      </c>
      <c r="M19" s="2430">
        <f>IF(C1="",'数据-汇总表'!D3,SUMIF(项目类型,C1,'数据-汇总表'!D17:D26))</f>
        <v>1742.42</v>
      </c>
    </row>
    <row r="20" spans="1:35" ht="14.4">
      <c r="A20" s="2439"/>
      <c r="B20" s="1250" t="s">
        <v>2153</v>
      </c>
      <c r="C20" s="146">
        <f ca="1">SUMIF(INDIRECT("'"&amp;C4&amp;"'"&amp;"!A:A"),结果表!B20,INDIRECT("'"&amp;C4&amp;"'"&amp;"!B:B"))</f>
        <v>18924</v>
      </c>
      <c r="D20" s="147">
        <f ca="1">SUMIF(INDIRECT("'"&amp;D4&amp;"'"&amp;"!A:A"),结果表!B20,INDIRECT("'"&amp;D4&amp;"'"&amp;"!B:B"))</f>
        <v>17364</v>
      </c>
      <c r="E20" s="2439"/>
      <c r="F20" s="1250" t="s">
        <v>2153</v>
      </c>
      <c r="G20" s="148">
        <f ca="1">ROUND(C20*$C$18+D20*$D$18,0)</f>
        <v>18144</v>
      </c>
      <c r="H20" s="983" t="s">
        <v>2154</v>
      </c>
      <c r="I20" s="138"/>
    </row>
    <row r="21" spans="1:35" ht="15" customHeight="1" thickBot="1">
      <c r="A21" s="1003"/>
      <c r="B21" s="2440" t="s">
        <v>2155</v>
      </c>
      <c r="C21" s="789">
        <f ca="1">ROUND(C19*10000/L19,0)</f>
        <v>83924</v>
      </c>
      <c r="D21" s="790">
        <f ca="1">ROUND(D19*10000/L19,0)</f>
        <v>77008</v>
      </c>
      <c r="E21" s="1003"/>
      <c r="F21" s="2440" t="s">
        <v>2155</v>
      </c>
      <c r="G21" s="149">
        <f ca="1">ROUND(G19*10000/L19,0)</f>
        <v>80469</v>
      </c>
      <c r="H21" s="2441" t="s">
        <v>2154</v>
      </c>
      <c r="I21" s="138"/>
    </row>
    <row r="22" spans="1:35" ht="15" thickBot="1">
      <c r="A22" s="2282" t="s">
        <v>2156</v>
      </c>
      <c r="B22" s="2442"/>
      <c r="C22" s="2443"/>
      <c r="D22" s="791">
        <f ca="1">IF(C19&lt;D19,D19/C19-1,C19/D19-1)</f>
        <v>8.9804739901624631E-2</v>
      </c>
      <c r="E22" s="138"/>
      <c r="F22" s="138"/>
      <c r="G22" s="138"/>
      <c r="H22" s="138"/>
      <c r="I22" s="138"/>
    </row>
    <row r="23" spans="1:35" ht="13.8" thickBot="1">
      <c r="A23" s="2420"/>
      <c r="B23" s="2420"/>
      <c r="C23" s="2420"/>
      <c r="D23" s="2420"/>
      <c r="E23" s="138"/>
      <c r="F23" s="138"/>
      <c r="G23" s="138"/>
      <c r="H23" s="138"/>
      <c r="I23" s="138"/>
    </row>
    <row r="24" spans="1:35" ht="14.4">
      <c r="A24" s="3124" t="s">
        <v>2157</v>
      </c>
      <c r="B24" s="2437" t="s">
        <v>2149</v>
      </c>
      <c r="C24" s="145">
        <f>IF(B30=0,0,D30)</f>
        <v>0</v>
      </c>
      <c r="D24" s="2444"/>
      <c r="E24" s="138"/>
      <c r="F24" s="138"/>
      <c r="G24" s="138"/>
      <c r="H24" s="138"/>
      <c r="I24" s="138"/>
    </row>
    <row r="25" spans="1:35" ht="14.4">
      <c r="A25" s="3125"/>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3.8">
      <c r="A27" s="2446"/>
      <c r="B27" s="151">
        <v>0</v>
      </c>
      <c r="C27" s="151">
        <v>0</v>
      </c>
      <c r="D27" s="152">
        <f ca="1">G19/'数据-汇总表'!F19*10000</f>
        <v>30943.237994350278</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2162</v>
      </c>
      <c r="B30" s="151"/>
      <c r="C30" s="151"/>
      <c r="D30" s="151"/>
      <c r="E30" s="2929" t="s">
        <v>3036</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2163</v>
      </c>
      <c r="B32" s="2450"/>
      <c r="C32" s="153">
        <f ca="1">IF(D32="总价",G19-C24,G20-C25)</f>
        <v>14021</v>
      </c>
      <c r="D32" s="2451" t="s">
        <v>2164</v>
      </c>
      <c r="E32" s="138"/>
      <c r="F32" s="138"/>
      <c r="G32" s="138"/>
      <c r="H32" s="138"/>
      <c r="I32" s="138"/>
    </row>
    <row r="33" spans="1:15" ht="14.4">
      <c r="A33" s="960" t="s">
        <v>2165</v>
      </c>
      <c r="B33" s="2452"/>
      <c r="C33" s="2453" t="s">
        <v>3088</v>
      </c>
      <c r="D33" s="2454" t="s">
        <v>3089</v>
      </c>
      <c r="E33" s="2455" t="s">
        <v>2166</v>
      </c>
      <c r="F33" s="2456" t="str">
        <f>IF(D32="楼面单价","取值（单价）","取值（总价）")</f>
        <v>取值（总价）</v>
      </c>
      <c r="G33" s="138"/>
      <c r="H33" s="138"/>
      <c r="I33" s="138"/>
    </row>
    <row r="34" spans="1:15" ht="14.4">
      <c r="A34" s="2457"/>
      <c r="B34" s="2458" t="s">
        <v>2167</v>
      </c>
      <c r="C34" s="157">
        <f ca="1">IF(C33="自定义",F34,C32-C35)</f>
        <v>11834</v>
      </c>
      <c r="D34" s="1058">
        <f ca="1">IF(C33="自定义",ROUND(C34/C32,3),IF(C33="收益比率",SUMIF(INDIRECT("'"&amp;D33&amp;"'"&amp;"!b:b"),"土地收益比率",INDIRECT("'"&amp;D33&amp;"'"&amp;"!c:c")),SUMIF(INDIRECT("'"&amp;D33&amp;"'"&amp;"!b:b"),"土地成本比率",INDIRECT("'"&amp;D33&amp;"'"&amp;"!c:c"))))</f>
        <v>0.84399999999999997</v>
      </c>
      <c r="E34" s="2459" t="s">
        <v>2168</v>
      </c>
      <c r="F34" s="1738"/>
      <c r="G34" s="138"/>
      <c r="H34" s="138"/>
      <c r="I34" s="138"/>
    </row>
    <row r="35" spans="1:15" ht="15" thickBot="1">
      <c r="A35" s="2460"/>
      <c r="B35" s="2461" t="s">
        <v>2169</v>
      </c>
      <c r="C35" s="1443">
        <f ca="1">IF(C33="自定义",F35,ROUND(C32*D35,0))</f>
        <v>2187</v>
      </c>
      <c r="D35" s="1444">
        <f ca="1">IF(C33="自定义",ROUND(C35/C32,3),IF(C33="收益比率",SUMIF(INDIRECT("'"&amp;D33&amp;"'"&amp;"!b:b"),"建筑物收益比率",INDIRECT("'"&amp;D33&amp;"'"&amp;"!c:c")),SUMIF(INDIRECT("'"&amp;D33&amp;"'"&amp;"!b:b"),"建筑物成本比率",INDIRECT("'"&amp;D33&amp;"'"&amp;"!c:c"))))</f>
        <v>0.156</v>
      </c>
      <c r="E35" s="2462" t="s">
        <v>2170</v>
      </c>
      <c r="F35" s="163"/>
      <c r="G35" s="138"/>
      <c r="H35" s="138"/>
      <c r="I35" s="138"/>
    </row>
    <row r="36" spans="1:15" ht="15" thickBot="1">
      <c r="A36" s="3104" t="s">
        <v>2171</v>
      </c>
      <c r="B36" s="2463" t="s">
        <v>2172</v>
      </c>
      <c r="C36" s="154"/>
      <c r="D36" s="2464"/>
      <c r="E36" s="2465"/>
      <c r="F36" s="2466"/>
      <c r="G36" s="138"/>
      <c r="H36" s="138"/>
      <c r="I36" s="138"/>
    </row>
    <row r="37" spans="1:15" ht="15" thickBot="1">
      <c r="A37" s="3105"/>
      <c r="B37" s="2268" t="s">
        <v>2173</v>
      </c>
      <c r="C37" s="156"/>
      <c r="D37" s="1394"/>
      <c r="E37" s="1394"/>
      <c r="F37" s="2466"/>
      <c r="G37" s="138"/>
      <c r="H37" s="138"/>
      <c r="I37" s="138"/>
    </row>
    <row r="38" spans="1:15" ht="15" thickBot="1">
      <c r="A38" s="3106"/>
      <c r="B38" s="2467" t="s">
        <v>2174</v>
      </c>
      <c r="C38" s="727"/>
      <c r="D38" s="2468" t="s">
        <v>2175</v>
      </c>
      <c r="E38" s="1394"/>
      <c r="F38" s="2466"/>
      <c r="G38" s="138"/>
      <c r="H38" s="138"/>
      <c r="I38" s="138"/>
    </row>
    <row r="39" spans="1:15" ht="14.4">
      <c r="A39" s="2439" t="s">
        <v>2176</v>
      </c>
      <c r="B39" s="2469" t="s">
        <v>2177</v>
      </c>
      <c r="C39" s="2470" t="s">
        <v>2178</v>
      </c>
      <c r="D39" s="2470" t="s">
        <v>2179</v>
      </c>
      <c r="E39" s="2471" t="s">
        <v>2180</v>
      </c>
      <c r="F39" s="2466"/>
      <c r="G39" s="138"/>
      <c r="H39" s="138"/>
      <c r="I39" s="138"/>
    </row>
    <row r="40" spans="1:15" ht="13.8">
      <c r="A40" s="2472" t="s">
        <v>2181</v>
      </c>
      <c r="B40" s="158"/>
      <c r="C40" s="159"/>
      <c r="D40" s="159"/>
      <c r="E40" s="160"/>
      <c r="F40" s="2466"/>
      <c r="G40" s="138"/>
      <c r="H40" s="138"/>
      <c r="I40" s="138"/>
    </row>
    <row r="41" spans="1:15" ht="13.8">
      <c r="A41" s="2472" t="s">
        <v>2182</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6"/>
      <c r="B43" s="2166"/>
      <c r="C43" s="2166"/>
      <c r="D43" s="2166"/>
      <c r="E43" s="2166"/>
      <c r="F43" s="2474"/>
      <c r="G43" s="2474"/>
      <c r="H43" s="2474"/>
      <c r="I43" s="2475"/>
    </row>
    <row r="44" spans="1:15" ht="17.399999999999999">
      <c r="A44" s="2476" t="s">
        <v>2183</v>
      </c>
      <c r="B44" s="2477"/>
      <c r="C44" s="2477"/>
      <c r="D44" s="2478"/>
      <c r="E44" s="2478"/>
      <c r="F44" s="2479"/>
      <c r="G44" s="2479"/>
      <c r="H44" s="2479"/>
      <c r="I44" s="2479"/>
      <c r="J44" s="2480" t="s">
        <v>2184</v>
      </c>
      <c r="K44" s="2481"/>
      <c r="L44" s="2481"/>
      <c r="M44" s="2481"/>
      <c r="N44" s="2481"/>
      <c r="O44" s="2481"/>
    </row>
    <row r="45" spans="1:15" ht="14.25" customHeight="1" thickBot="1">
      <c r="A45" s="3121" t="s">
        <v>2185</v>
      </c>
      <c r="B45" s="3122"/>
      <c r="C45" s="3123"/>
      <c r="D45" s="164">
        <f ca="1">ROUND(H101*F45,0)</f>
        <v>14021</v>
      </c>
      <c r="E45" s="165" t="s">
        <v>2186</v>
      </c>
      <c r="F45" s="166">
        <v>1</v>
      </c>
      <c r="G45" s="167" t="s">
        <v>2187</v>
      </c>
      <c r="H45" s="138"/>
      <c r="I45" s="138"/>
      <c r="J45" s="3040" t="s">
        <v>2188</v>
      </c>
      <c r="K45" s="3040"/>
      <c r="L45" s="3040"/>
      <c r="M45" s="3040"/>
      <c r="N45" s="3040"/>
      <c r="O45" s="3040"/>
    </row>
    <row r="46" spans="1:15" ht="14.25" customHeight="1">
      <c r="A46" s="3118" t="s">
        <v>2189</v>
      </c>
      <c r="B46" s="3119"/>
      <c r="C46" s="3119"/>
      <c r="D46" s="3119"/>
      <c r="E46" s="3119"/>
      <c r="F46" s="3119"/>
      <c r="G46" s="3120"/>
      <c r="H46" s="2482"/>
      <c r="I46" s="168"/>
      <c r="J46" s="1811">
        <v>1</v>
      </c>
      <c r="K46" s="3040" t="s">
        <v>2190</v>
      </c>
      <c r="L46" s="3040"/>
      <c r="M46" s="3041"/>
      <c r="N46" s="3041"/>
      <c r="O46" s="3041"/>
    </row>
    <row r="47" spans="1:15" ht="12" customHeight="1">
      <c r="A47" s="169" t="s">
        <v>2191</v>
      </c>
      <c r="B47" s="170"/>
      <c r="C47" s="171"/>
      <c r="D47" s="172" t="s">
        <v>2192</v>
      </c>
      <c r="E47" s="24" t="s">
        <v>2193</v>
      </c>
      <c r="F47" s="173" t="s">
        <v>2194</v>
      </c>
      <c r="G47" s="174" t="s">
        <v>2195</v>
      </c>
      <c r="H47" s="2482"/>
      <c r="I47" s="168"/>
      <c r="J47" s="1811">
        <v>2</v>
      </c>
      <c r="K47" s="3040" t="s">
        <v>2196</v>
      </c>
      <c r="L47" s="3040"/>
      <c r="M47" s="3042">
        <f>'数据-取费表'!B2</f>
        <v>43269</v>
      </c>
      <c r="N47" s="3042"/>
      <c r="O47" s="3042"/>
    </row>
    <row r="48" spans="1:15" ht="26.4">
      <c r="A48" s="3108" t="s">
        <v>2197</v>
      </c>
      <c r="B48" s="3109"/>
      <c r="C48" s="3109"/>
      <c r="D48" s="140">
        <f>IF(H48="情况1",0,IF(H48="情况2",D52,IF(H48="情况3",D53,IF(H48="情况4",D54))))</f>
        <v>0</v>
      </c>
      <c r="E48" s="1800" t="str">
        <f>IF(H48="情况4","(销售额-原购置价)×税（费）率","销售额×税（费）率")</f>
        <v>销售额×税（费）率</v>
      </c>
      <c r="F48" s="175" t="str">
        <f>IF(H48="情况1","免征",'数据-取费表'!B41)</f>
        <v>免征</v>
      </c>
      <c r="G48" s="2483" t="s">
        <v>2198</v>
      </c>
      <c r="H48" s="2484" t="s">
        <v>2199</v>
      </c>
      <c r="I48" s="2482"/>
      <c r="J48" s="1811">
        <v>3</v>
      </c>
      <c r="K48" s="3040" t="s">
        <v>2200</v>
      </c>
      <c r="L48" s="3040"/>
      <c r="M48" s="3043">
        <f ca="1">H101</f>
        <v>14021</v>
      </c>
      <c r="N48" s="3043"/>
      <c r="O48" s="3043"/>
    </row>
    <row r="49" spans="1:35" ht="25.5" customHeight="1">
      <c r="A49" s="176" t="s">
        <v>2201</v>
      </c>
      <c r="B49" s="3088" t="s">
        <v>2202</v>
      </c>
      <c r="C49" s="3088"/>
      <c r="D49" s="177">
        <v>0</v>
      </c>
      <c r="E49" s="23" t="s">
        <v>2203</v>
      </c>
      <c r="F49" s="28" t="s">
        <v>34</v>
      </c>
      <c r="G49" s="3069"/>
      <c r="H49" s="138"/>
      <c r="I49" s="2485"/>
      <c r="J49" s="1811">
        <v>4</v>
      </c>
      <c r="K49" s="3040" t="str">
        <f>IF(项目基本情况!E8="房地产抵押价值","房地产抵押价值","抵押担保权已注销时的房地产抵押价值")</f>
        <v>房地产抵押价值</v>
      </c>
      <c r="L49" s="3040"/>
      <c r="M49" s="3043">
        <f ca="1">IF(项目基本情况!E8="房地产抵押价值",H107,H109)</f>
        <v>14021</v>
      </c>
      <c r="N49" s="3043"/>
      <c r="O49" s="3043"/>
    </row>
    <row r="50" spans="1:35" ht="25.5" customHeight="1">
      <c r="A50" s="178"/>
      <c r="B50" s="3088" t="s">
        <v>2204</v>
      </c>
      <c r="C50" s="3088"/>
      <c r="D50" s="179"/>
      <c r="E50" s="31"/>
      <c r="F50" s="180"/>
      <c r="G50" s="3070"/>
      <c r="H50" s="138"/>
      <c r="I50" s="2485"/>
      <c r="J50" s="3040" t="s">
        <v>2205</v>
      </c>
      <c r="K50" s="3040"/>
      <c r="L50" s="3040"/>
      <c r="M50" s="3040"/>
      <c r="N50" s="3040"/>
      <c r="O50" s="3040"/>
    </row>
    <row r="51" spans="1:35" ht="12" customHeight="1">
      <c r="A51" s="181"/>
      <c r="B51" s="3088" t="s">
        <v>2206</v>
      </c>
      <c r="C51" s="3088"/>
      <c r="D51" s="182"/>
      <c r="E51" s="30"/>
      <c r="F51" s="180"/>
      <c r="G51" s="3071"/>
      <c r="H51" s="138"/>
      <c r="I51" s="2485"/>
      <c r="J51" s="2486" t="s">
        <v>2207</v>
      </c>
      <c r="K51" s="3040" t="s">
        <v>2208</v>
      </c>
      <c r="L51" s="3040"/>
      <c r="M51" s="2486" t="s">
        <v>2209</v>
      </c>
      <c r="N51" s="2486" t="s">
        <v>2210</v>
      </c>
      <c r="O51" s="2486" t="s">
        <v>2211</v>
      </c>
    </row>
    <row r="52" spans="1:35" ht="24" customHeight="1">
      <c r="A52" s="183" t="s">
        <v>2212</v>
      </c>
      <c r="B52" s="3088" t="s">
        <v>2213</v>
      </c>
      <c r="C52" s="3088"/>
      <c r="D52" s="182">
        <f ca="1">ROUND(D45*'数据-取费表'!B41/(1+'数据-取费表'!C42),0)</f>
        <v>748</v>
      </c>
      <c r="E52" s="11" t="s">
        <v>2214</v>
      </c>
      <c r="F52" s="184">
        <f>'数据-取费表'!B41</f>
        <v>5.6000000000000001E-2</v>
      </c>
      <c r="G52" s="2487"/>
      <c r="H52" s="138"/>
      <c r="I52" s="2485"/>
      <c r="J52" s="1811">
        <v>1</v>
      </c>
      <c r="K52" s="3063" t="s">
        <v>2215</v>
      </c>
      <c r="L52" s="3063"/>
      <c r="M52" s="1753">
        <f>D48</f>
        <v>0</v>
      </c>
      <c r="N52" s="1811" t="str">
        <f>E48</f>
        <v>销售额×税（费）率</v>
      </c>
      <c r="O52" s="1754" t="str">
        <f>F48</f>
        <v>免征</v>
      </c>
    </row>
    <row r="53" spans="1:35" ht="12" customHeight="1">
      <c r="A53" s="183" t="s">
        <v>2216</v>
      </c>
      <c r="B53" s="3089" t="s">
        <v>2217</v>
      </c>
      <c r="C53" s="3090"/>
      <c r="D53" s="182">
        <f ca="1">ROUND(D45*'数据-取费表'!B41/(1+'数据-取费表'!C42),0)</f>
        <v>748</v>
      </c>
      <c r="E53" s="11" t="s">
        <v>2214</v>
      </c>
      <c r="F53" s="184">
        <f>'数据-取费表'!B41</f>
        <v>5.6000000000000001E-2</v>
      </c>
      <c r="G53" s="2487"/>
      <c r="H53" s="138"/>
      <c r="I53" s="2485"/>
      <c r="J53" s="1811">
        <v>2</v>
      </c>
      <c r="K53" s="3063" t="s">
        <v>2218</v>
      </c>
      <c r="L53" s="3063"/>
      <c r="M53" s="1753">
        <f t="shared" ref="M53:O54" ca="1" si="0">D55</f>
        <v>7</v>
      </c>
      <c r="N53" s="1811" t="str">
        <f t="shared" si="0"/>
        <v>销售额×税（费）率</v>
      </c>
      <c r="O53" s="1754">
        <f t="shared" si="0"/>
        <v>5.0000000000000001E-4</v>
      </c>
    </row>
    <row r="54" spans="1:35" ht="12" customHeight="1">
      <c r="A54" s="183" t="s">
        <v>2219</v>
      </c>
      <c r="B54" s="3089" t="s">
        <v>2220</v>
      </c>
      <c r="C54" s="3090"/>
      <c r="D54" s="182">
        <f ca="1">C68</f>
        <v>748</v>
      </c>
      <c r="E54" s="30" t="s">
        <v>2221</v>
      </c>
      <c r="F54" s="184">
        <f>'数据-取费表'!B41</f>
        <v>5.6000000000000001E-2</v>
      </c>
      <c r="G54" s="2487"/>
      <c r="H54" s="2488"/>
      <c r="I54" s="2485"/>
      <c r="J54" s="1811">
        <v>3</v>
      </c>
      <c r="K54" s="3063" t="s">
        <v>2222</v>
      </c>
      <c r="L54" s="3063"/>
      <c r="M54" s="1753">
        <f t="shared" ca="1" si="0"/>
        <v>7936</v>
      </c>
      <c r="N54" s="1811" t="str">
        <f t="shared" si="0"/>
        <v>增值额×税（费）率</v>
      </c>
      <c r="O54" s="1755" t="str">
        <f t="shared" si="0"/>
        <v>——</v>
      </c>
    </row>
    <row r="55" spans="1:35" ht="24" customHeight="1">
      <c r="A55" s="3127" t="s">
        <v>2223</v>
      </c>
      <c r="B55" s="3109"/>
      <c r="C55" s="3109"/>
      <c r="D55" s="185">
        <f ca="1">IF(H55="个人住宅",0,ROUND(D45*I55,0))</f>
        <v>7</v>
      </c>
      <c r="E55" s="11" t="s">
        <v>2224</v>
      </c>
      <c r="F55" s="184">
        <f>IF(H55="正常",I55,"免征")</f>
        <v>5.0000000000000001E-4</v>
      </c>
      <c r="G55" s="2487"/>
      <c r="H55" s="2484" t="s">
        <v>2225</v>
      </c>
      <c r="I55" s="186">
        <f>'数据-取费表'!B49</f>
        <v>5.0000000000000001E-4</v>
      </c>
      <c r="J55" s="1811" t="str">
        <f>IF(H59="非个人房产","",4)</f>
        <v/>
      </c>
      <c r="K55" s="3063" t="str">
        <f>IF(H59="非个人房产","——","个人所得税")</f>
        <v>——</v>
      </c>
      <c r="L55" s="3063"/>
      <c r="M55" s="1756" t="str">
        <f>D59</f>
        <v>——</v>
      </c>
      <c r="N55" s="1809" t="str">
        <f>E59</f>
        <v>——</v>
      </c>
      <c r="O55" s="1757" t="str">
        <f>F59</f>
        <v>——</v>
      </c>
    </row>
    <row r="56" spans="1:35" ht="25.2">
      <c r="A56" s="3127" t="s">
        <v>2226</v>
      </c>
      <c r="B56" s="3109"/>
      <c r="C56" s="3109"/>
      <c r="D56" s="185">
        <f ca="1">IF(H56="个人住宅",D57,D58)</f>
        <v>7936</v>
      </c>
      <c r="E56" s="11" t="s">
        <v>2227</v>
      </c>
      <c r="F56" s="184" t="str">
        <f>IF(H56="正常",F58,"免征")</f>
        <v>——</v>
      </c>
      <c r="G56" s="2489" t="s">
        <v>2228</v>
      </c>
      <c r="H56" s="2490" t="s">
        <v>2225</v>
      </c>
      <c r="I56" s="2491"/>
      <c r="J56" s="1811" t="str">
        <f>IF(项目基本情况!K6="上海银行",IF(J55="",4,J55+1),"")</f>
        <v/>
      </c>
      <c r="K56" s="3046" t="str">
        <f>IF(项目基本情况!K6="上海银行","其他处置费用","")</f>
        <v/>
      </c>
      <c r="L56" s="3047"/>
      <c r="M56" s="1753" t="str">
        <f>IF(项目基本情况!K6="上海银行",M69,"")</f>
        <v/>
      </c>
      <c r="N56" s="3049" t="str">
        <f>IF(项目基本情况!K6="上海银行","包含处置中涉及的律师、诉讼、拍卖、评估等费用","")</f>
        <v/>
      </c>
      <c r="O56" s="3050"/>
    </row>
    <row r="57" spans="1:35" ht="13.2">
      <c r="A57" s="183" t="s">
        <v>2201</v>
      </c>
      <c r="B57" s="3094" t="s">
        <v>2229</v>
      </c>
      <c r="C57" s="3095"/>
      <c r="D57" s="187">
        <v>0</v>
      </c>
      <c r="E57" s="23" t="s">
        <v>2203</v>
      </c>
      <c r="F57" s="155"/>
      <c r="G57" s="2487"/>
      <c r="H57" s="2491"/>
      <c r="I57" s="2491"/>
      <c r="J57" s="3063">
        <f>IF(AND(J55="",J56=""),4,IF(项目基本情况!K6="上海银行",结果表!J56+1,结果表!J55+1))</f>
        <v>4</v>
      </c>
      <c r="K57" s="3063" t="s">
        <v>2230</v>
      </c>
      <c r="L57" s="2492" t="s">
        <v>2231</v>
      </c>
      <c r="M57" s="1758"/>
      <c r="N57" s="1759">
        <f ca="1">SUMIF(M52:M56,"&lt;9e307")</f>
        <v>7943</v>
      </c>
      <c r="O57" s="2493"/>
      <c r="P57" s="1752">
        <f ca="1">N57/M49</f>
        <v>0.56650738178446614</v>
      </c>
    </row>
    <row r="58" spans="1:35" ht="25.2">
      <c r="A58" s="183" t="s">
        <v>2212</v>
      </c>
      <c r="B58" s="3094" t="s">
        <v>2232</v>
      </c>
      <c r="C58" s="3107"/>
      <c r="D58" s="185">
        <f ca="1">IF(H58="转让取得",C81,C97)</f>
        <v>7936</v>
      </c>
      <c r="E58" s="11" t="s">
        <v>2227</v>
      </c>
      <c r="F58" s="24" t="s">
        <v>34</v>
      </c>
      <c r="G58" s="2487"/>
      <c r="H58" s="2490" t="s">
        <v>2233</v>
      </c>
      <c r="I58" s="2491"/>
      <c r="J58" s="3063"/>
      <c r="K58" s="3063"/>
      <c r="L58" s="2492" t="s">
        <v>2234</v>
      </c>
      <c r="M58" s="1760"/>
      <c r="N58" s="2494" t="str">
        <f ca="1">NUMBERSTRING(INT(N57*10000),2)&amp;"元整"</f>
        <v>柒仟玖佰肆拾叁万元整</v>
      </c>
      <c r="O58" s="2495"/>
    </row>
    <row r="59" spans="1:35" ht="24.6" thickBot="1">
      <c r="A59" s="3067" t="s">
        <v>2235</v>
      </c>
      <c r="B59" s="3068"/>
      <c r="C59" s="3068"/>
      <c r="D59" s="188" t="str">
        <f>IF(H59="非个人房产","——",IF(H59="个人住宅",0,ROUND(D45*I59,0)))</f>
        <v>——</v>
      </c>
      <c r="E59" s="189" t="str">
        <f>IF(H59="非个人房产","——","销售额×税（费）率")</f>
        <v>——</v>
      </c>
      <c r="F59" s="190" t="str">
        <f>IF(H59="非个人房产","——",IF(H59="个人住宅","免征",I59))</f>
        <v>——</v>
      </c>
      <c r="G59" s="2496" t="s">
        <v>2228</v>
      </c>
      <c r="H59" s="2490" t="s">
        <v>2236</v>
      </c>
      <c r="I59" s="191">
        <v>0.01</v>
      </c>
      <c r="J59" s="3065">
        <f>J57+1</f>
        <v>5</v>
      </c>
      <c r="K59" s="3063" t="s">
        <v>2237</v>
      </c>
      <c r="L59" s="1811" t="s">
        <v>2231</v>
      </c>
      <c r="M59" s="1761"/>
      <c r="N59" s="1762">
        <f ca="1">M49-N57</f>
        <v>6078</v>
      </c>
      <c r="O59" s="2497"/>
    </row>
    <row r="60" spans="1:35" ht="12" customHeight="1">
      <c r="A60" s="2498"/>
      <c r="B60" s="2420"/>
      <c r="C60" s="2420"/>
      <c r="D60" s="2420"/>
      <c r="E60" s="2167"/>
      <c r="F60" s="2491"/>
      <c r="G60" s="2491"/>
      <c r="H60" s="2499"/>
      <c r="I60" s="138"/>
      <c r="J60" s="3066"/>
      <c r="K60" s="3063"/>
      <c r="L60" s="2492" t="s">
        <v>2234</v>
      </c>
      <c r="M60" s="1760"/>
      <c r="N60" s="2494" t="str">
        <f ca="1">NUMBERSTRING(INT(N59*10000),2)&amp;"元整"</f>
        <v>陆仟零柒拾捌万元整</v>
      </c>
      <c r="O60" s="2495"/>
    </row>
    <row r="61" spans="1:35" ht="13.8" thickBot="1">
      <c r="A61" s="3126" t="s">
        <v>2238</v>
      </c>
      <c r="B61" s="3126"/>
      <c r="C61" s="3126"/>
      <c r="D61" s="3126"/>
      <c r="E61" s="3126"/>
      <c r="F61" s="2491"/>
      <c r="G61" s="2491"/>
      <c r="H61" s="2499"/>
      <c r="I61" s="138"/>
      <c r="J61" s="1811">
        <f>J59+1</f>
        <v>6</v>
      </c>
      <c r="K61" s="3063" t="s">
        <v>2239</v>
      </c>
      <c r="L61" s="3063"/>
      <c r="M61" s="1763"/>
      <c r="N61" s="1764">
        <f ca="1">ROUND(N59*10000/'数据-汇总表'!E3,0)</f>
        <v>7866</v>
      </c>
      <c r="O61" s="2500"/>
    </row>
    <row r="62" spans="1:35" ht="13.2">
      <c r="A62" s="3083" t="s">
        <v>2240</v>
      </c>
      <c r="B62" s="3084"/>
      <c r="C62" s="1803"/>
      <c r="D62" s="1803" t="s">
        <v>2241</v>
      </c>
      <c r="E62" s="192" t="s">
        <v>2242</v>
      </c>
      <c r="F62" s="2491"/>
      <c r="G62" s="2491"/>
      <c r="H62" s="2499"/>
      <c r="I62" s="138"/>
    </row>
    <row r="63" spans="1:35" ht="13.2">
      <c r="A63" s="203" t="s">
        <v>775</v>
      </c>
      <c r="B63" s="193" t="s">
        <v>2243</v>
      </c>
      <c r="C63" s="194">
        <f ca="1">ROUND((C64+C65)/(1+'数据-取费表'!C42),0)</f>
        <v>13353</v>
      </c>
      <c r="D63" s="195"/>
      <c r="E63" s="196"/>
      <c r="F63" s="2491"/>
      <c r="G63" s="2491"/>
      <c r="H63" s="2499"/>
      <c r="I63" s="138"/>
      <c r="J63" s="3048" t="s">
        <v>2244</v>
      </c>
      <c r="K63" s="2501" t="s">
        <v>2245</v>
      </c>
      <c r="L63" s="1751">
        <f ca="1">IF(M49&gt;10000,M49*0.5%,IF(AND(M49&gt;1000,M49&lt;=10000),M49*1%,IF(AND(M49&gt;100,M49&lt;=1000),M49*3%,IF(AND(M49&gt;10,M49&lt;=100),M49*5%,M49*8%))))</f>
        <v>70.105000000000004</v>
      </c>
      <c r="M63" s="24">
        <f ca="1">ROUND(L63,1)</f>
        <v>70.099999999999994</v>
      </c>
      <c r="Z63" s="2425"/>
      <c r="AI63" s="2426"/>
    </row>
    <row r="64" spans="1:35" ht="14.25" customHeight="1">
      <c r="A64" s="197" t="s">
        <v>770</v>
      </c>
      <c r="B64" s="198" t="s">
        <v>2246</v>
      </c>
      <c r="C64" s="199">
        <f ca="1">D45</f>
        <v>14021</v>
      </c>
      <c r="D64" s="200" t="s">
        <v>32</v>
      </c>
      <c r="E64" s="201"/>
      <c r="F64" s="2491"/>
      <c r="G64" s="2491"/>
      <c r="H64" s="2499"/>
      <c r="I64" s="138"/>
      <c r="J64" s="3048"/>
      <c r="K64" s="2501" t="s">
        <v>2247</v>
      </c>
      <c r="L64" s="1751">
        <f ca="1">IF(M49&gt;2000,M49*0.5%,IF(AND(M49&gt;1000,M49&lt;=2000),M49*0.6%,IF(AND(M49&gt;500,M49&lt;=1000),M49*0.7%,IF(AND(M49&gt;200,M49&lt;=500),M49*0.8%,IF(AND(M49&gt;100,M49&lt;=200),M49*0.9%,IF(AND(M49&gt;50,M49&lt;=100),M49*1%,IF(AND(M49&gt;20,M49&lt;=50),M49*1.5%,IF(AND(M49&gt;10,M49&lt;=20),M49*2%,IF(AND(M49&gt;1,M49&lt;=10),M49*2.5%)))))))))</f>
        <v>70.105000000000004</v>
      </c>
      <c r="M64" s="24">
        <f t="shared" ref="M64:M65" ca="1" si="1">ROUND(L64,1)</f>
        <v>70.099999999999994</v>
      </c>
      <c r="N64" s="138" t="s">
        <v>2248</v>
      </c>
      <c r="Z64" s="2425"/>
      <c r="AI64" s="2426"/>
    </row>
    <row r="65" spans="1:35" ht="14.25" customHeight="1">
      <c r="A65" s="197" t="s">
        <v>771</v>
      </c>
      <c r="B65" s="198" t="s">
        <v>2249</v>
      </c>
      <c r="C65" s="202"/>
      <c r="D65" s="200"/>
      <c r="E65" s="201"/>
      <c r="F65" s="2491"/>
      <c r="G65" s="2491"/>
      <c r="H65" s="2499"/>
      <c r="I65" s="138"/>
      <c r="J65" s="3048"/>
      <c r="K65" s="2501" t="s">
        <v>2250</v>
      </c>
      <c r="L65" s="1751">
        <f ca="1">IF(M49&gt;1000,M49*0.1%,IF(AND(M49&gt;500,M49&lt;=1000),M49*0.5%,IF(AND(M49&gt;50,M49&lt;=500),M49*1%,IF(AND(M49&gt;1,M49&lt;=50),M49*1.5%))))</f>
        <v>14.021000000000001</v>
      </c>
      <c r="M65" s="24">
        <f t="shared" ca="1" si="1"/>
        <v>14</v>
      </c>
      <c r="N65" s="138" t="s">
        <v>2248</v>
      </c>
      <c r="Z65" s="2425"/>
      <c r="AI65" s="2426"/>
    </row>
    <row r="66" spans="1:35" ht="14.25" customHeight="1">
      <c r="A66" s="203" t="s">
        <v>772</v>
      </c>
      <c r="B66" s="204" t="s">
        <v>2251</v>
      </c>
      <c r="C66" s="205"/>
      <c r="D66" s="206" t="s">
        <v>32</v>
      </c>
      <c r="E66" s="1775" t="s">
        <v>1371</v>
      </c>
      <c r="F66" s="2491"/>
      <c r="G66" s="2491"/>
      <c r="H66" s="2499"/>
      <c r="I66" s="138"/>
      <c r="J66" s="3048"/>
      <c r="K66" s="2501" t="s">
        <v>2252</v>
      </c>
      <c r="L66" s="1751">
        <f ca="1">M49*0.5%</f>
        <v>70.105000000000004</v>
      </c>
      <c r="M66" s="24">
        <f ca="1">IF(L66&gt;0.5,0.5,ROUND(L66,0))</f>
        <v>0.5</v>
      </c>
      <c r="N66" s="138" t="s">
        <v>2253</v>
      </c>
      <c r="Z66" s="2425"/>
      <c r="AI66" s="2426"/>
    </row>
    <row r="67" spans="1:35" ht="14.25" customHeight="1">
      <c r="A67" s="203" t="s">
        <v>773</v>
      </c>
      <c r="B67" s="204" t="s">
        <v>2254</v>
      </c>
      <c r="C67" s="207">
        <f ca="1">C63-C66</f>
        <v>13353</v>
      </c>
      <c r="D67" s="200" t="s">
        <v>32</v>
      </c>
      <c r="E67" s="201"/>
      <c r="F67" s="2491"/>
      <c r="G67" s="2491"/>
      <c r="H67" s="2499"/>
      <c r="I67" s="138"/>
      <c r="J67" s="3048"/>
      <c r="K67" s="2501" t="s">
        <v>2255</v>
      </c>
      <c r="L67" s="1751">
        <f ca="1">IF(M49&gt;=10000,(8.25+(M49-10000)*0.01%),IF(AND(M49&gt;=8000,M49&lt;10000),(7.85+(M49-8000)*0.02%),IF(AND(M49&gt;=5000,M49&lt;8000),(6.65+(M49-5000)*0.04%),IF(AND(M49&gt;=2000,M49&lt;5000),(4.25+(PM49-2000)*0.08%),IF(AND(M49&gt;=1000,M49&lt;2000),(2.75+(M49-1000)*0.15%),IF(AND(M49&gt;=100,M49&lt;1000),(0.5+(M49-100)*0.25%),IF(AND(M49&gt;0,M49&lt;100),M49*0.5%)))))))</f>
        <v>8.6521000000000008</v>
      </c>
      <c r="M67" s="24">
        <f ca="1">ROUND(L67*0.9,1)</f>
        <v>7.8</v>
      </c>
      <c r="Z67" s="2425"/>
      <c r="AI67" s="2426"/>
    </row>
    <row r="68" spans="1:35" ht="14.25" customHeight="1" thickBot="1">
      <c r="A68" s="208" t="s">
        <v>774</v>
      </c>
      <c r="B68" s="209" t="s">
        <v>2256</v>
      </c>
      <c r="C68" s="210">
        <f ca="1">IF(C67&lt;=0,0,ROUND(C67*D68,0))</f>
        <v>748</v>
      </c>
      <c r="D68" s="211">
        <f>'数据-取费表'!B41</f>
        <v>5.6000000000000001E-2</v>
      </c>
      <c r="E68" s="212"/>
      <c r="F68" s="2491"/>
      <c r="G68" s="2491"/>
      <c r="H68" s="2499"/>
      <c r="I68" s="138"/>
      <c r="J68" s="3048"/>
      <c r="K68" s="2501" t="s">
        <v>2257</v>
      </c>
      <c r="L68" s="1751">
        <f ca="1">IF(M49&gt;10000,M49*0.5%,IF(AND(M49&gt;5000,M49&lt;=10000),M49*1%,IF(AND(M49&gt;1000,M49&lt;=5000),M49*2%,IF(AND(M49&gt;200,M49&lt;=1000),M49*3%,M49*5%))))</f>
        <v>70.105000000000004</v>
      </c>
      <c r="M68" s="24">
        <f ca="1">ROUND(L68,1)</f>
        <v>70.099999999999994</v>
      </c>
      <c r="Z68" s="2425"/>
      <c r="AI68" s="2426"/>
    </row>
    <row r="69" spans="1:35" s="2448" customFormat="1" ht="16.5" customHeight="1">
      <c r="A69" s="2502"/>
      <c r="B69" s="2503"/>
      <c r="C69" s="2504"/>
      <c r="D69" s="2505"/>
      <c r="E69" s="2506"/>
      <c r="F69" s="2167"/>
      <c r="G69" s="2167"/>
      <c r="H69" s="2166"/>
      <c r="I69" s="2420"/>
      <c r="J69" s="3048"/>
      <c r="K69" s="2501" t="s">
        <v>2258</v>
      </c>
      <c r="L69" s="2507"/>
      <c r="M69" s="24">
        <f ca="1">ROUND(SUM(M63:M68),0)</f>
        <v>233</v>
      </c>
      <c r="N69" s="1752">
        <f ca="1">M69/M49</f>
        <v>1.6617930247485913E-2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092" t="s">
        <v>2259</v>
      </c>
      <c r="B70" s="3093"/>
      <c r="C70" s="3093"/>
      <c r="D70" s="3093"/>
      <c r="E70" s="3093"/>
      <c r="F70" s="3093"/>
      <c r="G70" s="3093"/>
      <c r="H70" s="3093"/>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083" t="s">
        <v>2240</v>
      </c>
      <c r="B71" s="3084"/>
      <c r="C71" s="1803"/>
      <c r="D71" s="1803" t="s">
        <v>2241</v>
      </c>
      <c r="E71" s="213" t="s">
        <v>2242</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775</v>
      </c>
      <c r="B72" s="204" t="s">
        <v>2260</v>
      </c>
      <c r="C72" s="207">
        <f ca="1">ROUND(D45/(1+'数据-取费表'!C42),0)</f>
        <v>13353</v>
      </c>
      <c r="D72" s="200" t="s">
        <v>32</v>
      </c>
      <c r="E72" s="1802"/>
      <c r="F72" s="1796"/>
      <c r="G72" s="179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772</v>
      </c>
      <c r="B73" s="173" t="s">
        <v>2261</v>
      </c>
      <c r="C73" s="207">
        <f ca="1">C74+C78</f>
        <v>80</v>
      </c>
      <c r="D73" s="200" t="s">
        <v>32</v>
      </c>
      <c r="E73" s="1802"/>
      <c r="F73" s="1796"/>
      <c r="G73" s="179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2262</v>
      </c>
      <c r="C74" s="200">
        <f>ROUND(IF(G77="2016年5月1日后购买",C75/(1+'数据-取费表'!C42)+C76+C77,C75+C76+C77),0)</f>
        <v>0</v>
      </c>
      <c r="D74" s="200" t="s">
        <v>32</v>
      </c>
      <c r="E74" s="1802"/>
      <c r="F74" s="1796"/>
      <c r="G74" s="179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776</v>
      </c>
      <c r="B75" s="198" t="s">
        <v>2263</v>
      </c>
      <c r="C75" s="218"/>
      <c r="D75" s="200" t="s">
        <v>32</v>
      </c>
      <c r="E75" s="219" t="s">
        <v>2264</v>
      </c>
      <c r="F75" s="2513" t="s">
        <v>2265</v>
      </c>
      <c r="G75" s="219" t="s">
        <v>2266</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2267</v>
      </c>
      <c r="C76" s="200">
        <f>IF(F75="购房发票",ROUND(C75*H75*D76,0),0)</f>
        <v>0</v>
      </c>
      <c r="D76" s="222">
        <v>0.05</v>
      </c>
      <c r="E76" s="3089" t="s">
        <v>2268</v>
      </c>
      <c r="F76" s="3088"/>
      <c r="G76" s="3088"/>
      <c r="H76" s="3091"/>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5" t="s">
        <v>2271</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2272</v>
      </c>
      <c r="C78" s="225">
        <f ca="1">ROUND(D45*D78/(1+'数据-取费表'!C42),0)</f>
        <v>80</v>
      </c>
      <c r="D78" s="226">
        <f>'数据-取费表'!B43</f>
        <v>6.000000000000001E-3</v>
      </c>
      <c r="E78" s="3080" t="s">
        <v>2273</v>
      </c>
      <c r="F78" s="3081"/>
      <c r="G78" s="3081"/>
      <c r="H78" s="3082"/>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779</v>
      </c>
      <c r="B79" s="204" t="s">
        <v>2274</v>
      </c>
      <c r="C79" s="207">
        <f ca="1">C72-C73</f>
        <v>13273</v>
      </c>
      <c r="D79" s="200" t="s">
        <v>32</v>
      </c>
      <c r="E79" s="1802"/>
      <c r="F79" s="1796"/>
      <c r="G79" s="179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2275</v>
      </c>
      <c r="C80" s="227">
        <f ca="1">IF(C79&lt;=0,0,C79/C73)</f>
        <v>165.91249999999999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781</v>
      </c>
      <c r="B81" s="209" t="s">
        <v>2276</v>
      </c>
      <c r="C81" s="228">
        <f ca="1">ROUND(IF(C79&lt;=0,0,IF(C80&gt;=200%,C79*60%-C73*35%,IF(C80&gt;=100%,C79*50%-C73*15%,IF(C80&gt;=50%,C79*40%-C73*5%,IF(C80&lt;50%,C79*30%,0))))),0)</f>
        <v>7936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092" t="s">
        <v>2277</v>
      </c>
      <c r="B83" s="3093"/>
      <c r="C83" s="3093"/>
      <c r="D83" s="3093"/>
      <c r="E83" s="3093"/>
      <c r="F83" s="3093"/>
      <c r="G83" s="3093"/>
      <c r="H83" s="3093"/>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083" t="s">
        <v>2240</v>
      </c>
      <c r="B84" s="3084"/>
      <c r="C84" s="1803"/>
      <c r="D84" s="1803" t="s">
        <v>2241</v>
      </c>
      <c r="E84" s="213" t="s">
        <v>2242</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775</v>
      </c>
      <c r="B85" s="204" t="s">
        <v>2260</v>
      </c>
      <c r="C85" s="207">
        <f ca="1">ROUND(D45/(1+'数据-取费表'!C42),0)</f>
        <v>13353</v>
      </c>
      <c r="D85" s="200" t="s">
        <v>32</v>
      </c>
      <c r="E85" s="1802"/>
      <c r="F85" s="1796"/>
      <c r="G85" s="179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772</v>
      </c>
      <c r="B86" s="173" t="s">
        <v>2261</v>
      </c>
      <c r="C86" s="207">
        <f ca="1">IF(H88="仅含出让金",C87+C90+C91+C92+C93+C94,C87+C91+C92+C93+C94)</f>
        <v>80</v>
      </c>
      <c r="D86" s="235"/>
      <c r="E86" s="1802"/>
      <c r="F86" s="1796"/>
      <c r="G86" s="179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770</v>
      </c>
      <c r="B87" s="198" t="s">
        <v>2278</v>
      </c>
      <c r="C87" s="225">
        <f>C88+C89</f>
        <v>0</v>
      </c>
      <c r="D87" s="226"/>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776</v>
      </c>
      <c r="B88" s="198" t="s">
        <v>2279</v>
      </c>
      <c r="C88" s="236"/>
      <c r="D88" s="226"/>
      <c r="E88" s="237" t="s">
        <v>2280</v>
      </c>
      <c r="F88" s="1799"/>
      <c r="G88" s="238" t="s">
        <v>2281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777</v>
      </c>
      <c r="B89" s="198" t="s">
        <v>2269</v>
      </c>
      <c r="C89" s="225">
        <f>ROUND(C88*D89,0)</f>
        <v>0</v>
      </c>
      <c r="D89" s="226">
        <f>'数据-取费表'!B48+'数据-取费表'!B49</f>
        <v>3.0499999999999999E-2</v>
      </c>
      <c r="E89" s="237" t="s">
        <v>2282</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771</v>
      </c>
      <c r="B90" s="198" t="s">
        <v>2283</v>
      </c>
      <c r="C90" s="236"/>
      <c r="D90" s="226"/>
      <c r="E90" s="237"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2284</v>
      </c>
      <c r="B91" s="198" t="s">
        <v>2285</v>
      </c>
      <c r="C91" s="225">
        <f>IF(H91="——",成本法!C33,I91)</f>
        <v>0</v>
      </c>
      <c r="D91" s="226"/>
      <c r="E91" s="3080" t="s">
        <v>2286</v>
      </c>
      <c r="F91" s="3081"/>
      <c r="G91" s="3081"/>
      <c r="H91" s="2520" t="s">
        <v>2287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2288</v>
      </c>
      <c r="B92" s="198" t="s">
        <v>2289</v>
      </c>
      <c r="C92" s="225">
        <f>ROUND((C87+C90+C91)*D92,0)</f>
        <v>0</v>
      </c>
      <c r="D92" s="226">
        <v>0.1</v>
      </c>
      <c r="E92" s="3080" t="s">
        <v>2290</v>
      </c>
      <c r="F92" s="3081"/>
      <c r="G92" s="3081"/>
      <c r="H92" s="3082"/>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2291</v>
      </c>
      <c r="B93" s="198" t="s">
        <v>2272</v>
      </c>
      <c r="C93" s="225">
        <f ca="1">ROUND(D45*D93/(1+'数据-取费表'!C42),0)</f>
        <v>80</v>
      </c>
      <c r="D93" s="226">
        <f>'数据-取费表'!B43</f>
        <v>6.000000000000001E-3</v>
      </c>
      <c r="E93" s="3080" t="s">
        <v>2273</v>
      </c>
      <c r="F93" s="3081"/>
      <c r="G93" s="3081"/>
      <c r="H93" s="3082"/>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2292</v>
      </c>
      <c r="B94" s="198" t="s">
        <v>2293</v>
      </c>
      <c r="C94" s="236">
        <f>ROUND((C87+C90+C91)*D94,0)</f>
        <v>0</v>
      </c>
      <c r="D94" s="226">
        <v>0.2</v>
      </c>
      <c r="E94" s="3128" t="s">
        <v>2294</v>
      </c>
      <c r="F94" s="3129"/>
      <c r="G94" s="3129"/>
      <c r="H94" s="313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779</v>
      </c>
      <c r="B95" s="204" t="s">
        <v>2274</v>
      </c>
      <c r="C95" s="207">
        <f ca="1">ROUND(C85-C86,0)</f>
        <v>13273</v>
      </c>
      <c r="D95" s="200" t="s">
        <v>32</v>
      </c>
      <c r="E95" s="1802"/>
      <c r="F95" s="1796"/>
      <c r="G95" s="179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2275</v>
      </c>
      <c r="C96" s="227">
        <f ca="1">IF(C95&lt;=0,0,C95/C86)</f>
        <v>165.91249999999999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781</v>
      </c>
      <c r="B97" s="209" t="s">
        <v>2276</v>
      </c>
      <c r="C97" s="228">
        <f ca="1">ROUND(IF(C95&lt;=0,0,IF(C96&gt;=200%,C95*60%-C86*35%,IF(C96&gt;=100%,C95*50%-C86*15%,IF(C96&gt;=50%,C95*40%-C86*5%,IF(C96&lt;50%,C95*30%,0))))),0)</f>
        <v>7936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2295</v>
      </c>
      <c r="B99" s="2420"/>
      <c r="C99" s="2420"/>
      <c r="D99" s="2420"/>
      <c r="E99" s="2167"/>
      <c r="F99" s="2167"/>
      <c r="G99" s="2167"/>
      <c r="H99" s="2166"/>
      <c r="I99" s="138"/>
    </row>
    <row r="100" spans="1:35" ht="18.75" customHeight="1">
      <c r="A100" s="3032" t="s">
        <v>2296</v>
      </c>
      <c r="B100" s="3033"/>
      <c r="C100" s="3033"/>
      <c r="D100" s="3064"/>
      <c r="E100" s="3033" t="s">
        <v>2297</v>
      </c>
      <c r="F100" s="3033"/>
      <c r="G100" s="3033"/>
      <c r="H100" s="3064"/>
      <c r="I100" s="138"/>
    </row>
    <row r="101" spans="1:35" ht="18.75" customHeight="1">
      <c r="A101" s="3072" t="s">
        <v>2298</v>
      </c>
      <c r="B101" s="3073"/>
      <c r="C101" s="736" t="str">
        <f>C4</f>
        <v>成本法</v>
      </c>
      <c r="D101" s="737" t="str">
        <f>D4</f>
        <v>收益法</v>
      </c>
      <c r="E101" s="3044" t="s">
        <v>2299</v>
      </c>
      <c r="F101" s="3045"/>
      <c r="G101" s="2522" t="s">
        <v>2300</v>
      </c>
      <c r="H101" s="1048">
        <f ca="1">H118</f>
        <v>14021</v>
      </c>
      <c r="I101" s="138"/>
    </row>
    <row r="102" spans="1:35" ht="18.75" customHeight="1">
      <c r="A102" s="3074" t="s">
        <v>2301</v>
      </c>
      <c r="B102" s="2522" t="s">
        <v>2300</v>
      </c>
      <c r="C102" s="736">
        <f ca="1">C19</f>
        <v>14623</v>
      </c>
      <c r="D102" s="737">
        <f ca="1">D19</f>
        <v>13418</v>
      </c>
      <c r="E102" s="3044"/>
      <c r="F102" s="3045"/>
      <c r="G102" s="2522" t="s">
        <v>2302</v>
      </c>
      <c r="H102" s="371">
        <f ca="1">I118</f>
        <v>18145</v>
      </c>
      <c r="I102" s="138"/>
    </row>
    <row r="103" spans="1:35" ht="42.75" customHeight="1">
      <c r="A103" s="3074"/>
      <c r="B103" s="2522" t="s">
        <v>2302</v>
      </c>
      <c r="C103" s="738">
        <f ca="1">C20</f>
        <v>18924</v>
      </c>
      <c r="D103" s="739">
        <f ca="1">D20</f>
        <v>17364</v>
      </c>
      <c r="E103" s="3038" t="s">
        <v>2303</v>
      </c>
      <c r="F103" s="3039"/>
      <c r="G103" s="2523" t="s">
        <v>2304</v>
      </c>
      <c r="H103" s="1048">
        <f>IF(D36="正常操作",H104+H105+H106,H105+H106)</f>
        <v>0</v>
      </c>
      <c r="I103" s="138"/>
    </row>
    <row r="104" spans="1:35" ht="18.75" customHeight="1">
      <c r="A104" s="3074" t="s">
        <v>2305</v>
      </c>
      <c r="B104" s="2524" t="s">
        <v>2300</v>
      </c>
      <c r="C104" s="740">
        <f ca="1">H118</f>
        <v>14021</v>
      </c>
      <c r="D104" s="741"/>
      <c r="E104" s="2268" t="s">
        <v>2306</v>
      </c>
      <c r="F104" s="2259"/>
      <c r="G104" s="2523" t="s">
        <v>2304</v>
      </c>
      <c r="H104" s="1049">
        <f>IF(D36="同一抵押权人同一抵押物续贷",C36&amp;"（未扣减，详见特别提示）",C36)</f>
        <v>0</v>
      </c>
      <c r="I104" s="138"/>
    </row>
    <row r="105" spans="1:35" ht="18.75" customHeight="1" thickBot="1">
      <c r="A105" s="3086"/>
      <c r="B105" s="2525" t="s">
        <v>2302</v>
      </c>
      <c r="C105" s="742">
        <f ca="1">I118</f>
        <v>18145</v>
      </c>
      <c r="D105" s="743"/>
      <c r="E105" s="2268" t="s">
        <v>2307</v>
      </c>
      <c r="F105" s="2259"/>
      <c r="G105" s="2523" t="s">
        <v>2304</v>
      </c>
      <c r="H105" s="1049">
        <f>C37</f>
        <v>0</v>
      </c>
      <c r="I105" s="138"/>
    </row>
    <row r="106" spans="1:35" ht="18.75" customHeight="1">
      <c r="A106" s="2420" t="s">
        <v>2308</v>
      </c>
      <c r="B106" s="2420"/>
      <c r="C106" s="2420"/>
      <c r="D106" s="2420"/>
      <c r="E106" s="2526" t="s">
        <v>2309</v>
      </c>
      <c r="F106" s="2259"/>
      <c r="G106" s="2523" t="s">
        <v>2304</v>
      </c>
      <c r="H106" s="1049">
        <f>C38</f>
        <v>0</v>
      </c>
      <c r="I106" s="138"/>
    </row>
    <row r="107" spans="1:35" ht="18.75" customHeight="1">
      <c r="A107" s="138"/>
      <c r="B107" s="138"/>
      <c r="C107" s="138"/>
      <c r="D107" s="138"/>
      <c r="E107" s="3075" t="str">
        <f>IF(项目基本情况!E8="已注销","——","3.房地产抵押价值")</f>
        <v>3.房地产抵押价值</v>
      </c>
      <c r="F107" s="3045"/>
      <c r="G107" s="2522" t="s">
        <v>2300</v>
      </c>
      <c r="H107" s="1048">
        <f ca="1">IF(E107="——","——",H101-H103)</f>
        <v>14021</v>
      </c>
      <c r="I107" s="138"/>
    </row>
    <row r="108" spans="1:35" ht="18.75" customHeight="1">
      <c r="A108" s="138"/>
      <c r="B108" s="138"/>
      <c r="C108" s="138"/>
      <c r="D108" s="138"/>
      <c r="E108" s="3075"/>
      <c r="F108" s="3045"/>
      <c r="G108" s="2522" t="s">
        <v>2302</v>
      </c>
      <c r="H108" s="371">
        <f ca="1">ROUND(H107*10000/'数据-汇总表'!E3,0)</f>
        <v>18145</v>
      </c>
      <c r="I108" s="138"/>
    </row>
    <row r="109" spans="1:35" ht="18.75" customHeight="1">
      <c r="A109" s="138"/>
      <c r="B109" s="138"/>
      <c r="C109" s="138"/>
      <c r="D109" s="138"/>
      <c r="E109" s="3075" t="str">
        <f>IF(项目基本情况!E8="已注销及未注销","4.抵押担保权已注销时的房地产抵押价值",IF(项目基本情况!E8="已注销","3.抵押担保权已注销时的房地产抵押价值","——"))</f>
        <v>——</v>
      </c>
      <c r="F109" s="3045"/>
      <c r="G109" s="2522" t="s">
        <v>2300</v>
      </c>
      <c r="H109" s="348" t="str">
        <f>IF(E109="——","——",H101-H105-H106)</f>
        <v>——</v>
      </c>
      <c r="I109" s="138"/>
    </row>
    <row r="110" spans="1:35" ht="18.75" customHeight="1">
      <c r="A110" s="138"/>
      <c r="B110" s="138"/>
      <c r="C110" s="138"/>
      <c r="D110" s="138"/>
      <c r="E110" s="3075"/>
      <c r="F110" s="3045"/>
      <c r="G110" s="2522" t="s">
        <v>2302</v>
      </c>
      <c r="H110" s="371" t="str">
        <f>IF(H109="——","——",ROUND(H109*10000/'数据-汇总表'!E3,0))</f>
        <v>——</v>
      </c>
      <c r="I110" s="138"/>
    </row>
    <row r="111" spans="1:35" ht="18.75" customHeight="1">
      <c r="A111" s="138"/>
      <c r="B111" s="138"/>
      <c r="C111" s="138"/>
      <c r="D111" s="138"/>
      <c r="E111" s="3076" t="str">
        <f>IF(项目基本情况!E9="抵押净值",IF(OR(项目基本情况!E8="已注销",项目基本情况!E8="房地产抵押价值"),"4.抵押净值","5.抵押净值"),"——")</f>
        <v>——</v>
      </c>
      <c r="F111" s="3077"/>
      <c r="G111" s="2522" t="s">
        <v>2300</v>
      </c>
      <c r="H111" s="1048" t="str">
        <f>IF(E111="——","——",N59)</f>
        <v>——</v>
      </c>
      <c r="I111" s="138"/>
    </row>
    <row r="112" spans="1:35" ht="18.75" customHeight="1" thickBot="1">
      <c r="A112" s="138"/>
      <c r="B112" s="138"/>
      <c r="C112" s="138"/>
      <c r="D112" s="138"/>
      <c r="E112" s="3078"/>
      <c r="F112" s="3079"/>
      <c r="G112" s="2527" t="s">
        <v>2302</v>
      </c>
      <c r="H112" s="790" t="str">
        <f>IF(E111="——","——",N61)</f>
        <v>——</v>
      </c>
      <c r="I112" s="138"/>
    </row>
    <row r="113" spans="1:11" ht="18.75" customHeight="1">
      <c r="A113" s="138"/>
      <c r="B113" s="138"/>
      <c r="C113" s="138"/>
      <c r="D113" s="138"/>
      <c r="E113" s="3087" t="s">
        <v>2308</v>
      </c>
      <c r="F113" s="3087"/>
      <c r="G113" s="3087"/>
      <c r="H113" s="3087"/>
      <c r="I113" s="138"/>
    </row>
    <row r="114" spans="1:11" ht="3.75" customHeight="1">
      <c r="A114" s="2420"/>
      <c r="B114" s="2420"/>
      <c r="C114" s="2420"/>
      <c r="D114" s="2420"/>
      <c r="E114" s="2498"/>
      <c r="F114" s="2498"/>
      <c r="G114" s="2498"/>
      <c r="H114" s="2498"/>
      <c r="I114" s="2420"/>
    </row>
    <row r="115" spans="1:11" ht="18.75" customHeight="1">
      <c r="A115" s="3100" t="s">
        <v>2310</v>
      </c>
      <c r="B115" s="3101"/>
      <c r="C115" s="3101"/>
      <c r="D115" s="3101"/>
      <c r="E115" s="3101"/>
      <c r="F115" s="3101"/>
      <c r="G115" s="3101"/>
      <c r="H115" s="3101"/>
      <c r="I115" s="3102"/>
    </row>
    <row r="116" spans="1:11" ht="27" customHeight="1">
      <c r="A116" s="3011" t="s">
        <v>2311</v>
      </c>
      <c r="B116" s="3054" t="s">
        <v>3092</v>
      </c>
      <c r="C116" s="3054" t="s">
        <v>3093</v>
      </c>
      <c r="D116" s="3060" t="s">
        <v>2312</v>
      </c>
      <c r="E116" s="3061"/>
      <c r="F116" s="3096" t="s">
        <v>2313</v>
      </c>
      <c r="G116" s="3096"/>
      <c r="H116" s="3011" t="s">
        <v>2314</v>
      </c>
      <c r="I116" s="3011"/>
    </row>
    <row r="117" spans="1:11" ht="18.75" customHeight="1">
      <c r="A117" s="3011"/>
      <c r="B117" s="3055"/>
      <c r="C117" s="3055"/>
      <c r="D117" s="1797" t="s">
        <v>2315</v>
      </c>
      <c r="E117" s="1797" t="s">
        <v>2316</v>
      </c>
      <c r="F117" s="1797" t="s">
        <v>2315</v>
      </c>
      <c r="G117" s="1797" t="s">
        <v>2317</v>
      </c>
      <c r="H117" s="1797" t="s">
        <v>2315</v>
      </c>
      <c r="I117" s="1797" t="s">
        <v>2317</v>
      </c>
    </row>
    <row r="118" spans="1:11" ht="24.75" customHeight="1">
      <c r="A118" s="2528" t="str">
        <f>项目基本情况!S2</f>
        <v>北京市丰台区右安门外玉林里45号楼房地产</v>
      </c>
      <c r="B118" s="1797">
        <f>M18</f>
        <v>7727.4000000000015</v>
      </c>
      <c r="C118" s="1797">
        <f>M19</f>
        <v>1742.42</v>
      </c>
      <c r="D118" s="1797">
        <f ca="1">ROUND(IF(D32="总价",C34,E118*B118/10000),0)</f>
        <v>11834</v>
      </c>
      <c r="E118" s="1797">
        <f ca="1">ROUND(IF(C33="自定义",IF(D32="楼面单价",C34,D118*10000/B118),I118-G118),0)</f>
        <v>15315</v>
      </c>
      <c r="F118" s="1797">
        <f ca="1">ROUND(IF(D32="总价",C35,G118*B118/10000),0)</f>
        <v>2187</v>
      </c>
      <c r="G118" s="1797">
        <f ca="1">ROUND(IF(D32="楼面单价",C35,F118*10000/B118),0)</f>
        <v>2830</v>
      </c>
      <c r="H118" s="1797">
        <f ca="1">ROUND(IF(D32="总价",C32,I118*B118/10000),0)</f>
        <v>14021</v>
      </c>
      <c r="I118" s="1797">
        <f ca="1">ROUND(IF(D32="楼面单价",C32,H118*10000/B118),0)</f>
        <v>18145</v>
      </c>
    </row>
    <row r="119" spans="1:11" ht="18.75" customHeight="1">
      <c r="A119" s="3011" t="s">
        <v>2318</v>
      </c>
      <c r="B119" s="3011"/>
      <c r="C119" s="3011"/>
      <c r="D119" s="3056" t="str">
        <f ca="1">NUMBERSTRING(INT(D118*10000),2)&amp;"元整"</f>
        <v>壹亿壹仟捌佰叁拾肆万元整</v>
      </c>
      <c r="E119" s="3057"/>
      <c r="F119" s="3056" t="str">
        <f ca="1">NUMBERSTRING(INT(F118*10000),2)&amp;"元整"</f>
        <v>贰仟壹佰捌拾柒万元整</v>
      </c>
      <c r="G119" s="3057"/>
      <c r="H119" s="3056" t="str">
        <f ca="1">NUMBERSTRING(INT(H118*10000),2)&amp;"元整"</f>
        <v>壹亿肆仟零贰拾壹万元整</v>
      </c>
      <c r="I119" s="3057"/>
    </row>
    <row r="120" spans="1:11" ht="18.75" customHeight="1">
      <c r="A120" s="3051" t="str">
        <f>IF(项目基本情况!B9="房地产市场价值","",MID(E103,3,LEN(E103)-2))</f>
        <v>估价师知悉的法定优先受偿款</v>
      </c>
      <c r="B120" s="3052"/>
      <c r="C120" s="3053"/>
      <c r="D120" s="3051">
        <f>H103</f>
        <v>0</v>
      </c>
      <c r="E120" s="3052"/>
      <c r="F120" s="3052"/>
      <c r="G120" s="3052"/>
      <c r="H120" s="3052"/>
      <c r="I120" s="3053"/>
      <c r="K120" s="2425" t="str">
        <f>IF(D120=0,"故，本次评估不存在"&amp;A120,"故，本次评估"&amp;A120&amp;"为人民币"&amp;D120&amp;"万元整。")</f>
        <v>故，本次评估不存在估价师知悉的法定优先受偿款</v>
      </c>
    </row>
    <row r="121" spans="1:11" ht="18.75" customHeight="1">
      <c r="A121" s="3097" t="s">
        <v>2318</v>
      </c>
      <c r="B121" s="3098"/>
      <c r="C121" s="3099"/>
      <c r="D121" s="3056" t="str">
        <f>IF(D120=0,"零元整",NUMBERSTRING(INT(D120*10000),2)&amp;"元整")</f>
        <v>零元整</v>
      </c>
      <c r="E121" s="3058"/>
      <c r="F121" s="3058"/>
      <c r="G121" s="3058"/>
      <c r="H121" s="3058"/>
      <c r="I121" s="3057"/>
    </row>
    <row r="122" spans="1:11" ht="18.75" customHeight="1">
      <c r="A122" s="3062" t="str">
        <f>IF(项目基本情况!B9="房地产市场价值","",MID(E107,3,LEN(E107)-2))</f>
        <v>房地产抵押价值</v>
      </c>
      <c r="B122" s="3062"/>
      <c r="C122" s="3062"/>
      <c r="D122" s="3051">
        <f ca="1">H107</f>
        <v>14021</v>
      </c>
      <c r="E122" s="3052"/>
      <c r="F122" s="3052"/>
      <c r="G122" s="3052"/>
      <c r="H122" s="3052"/>
      <c r="I122" s="3053"/>
    </row>
    <row r="123" spans="1:11" ht="18.75" customHeight="1">
      <c r="A123" s="3011" t="s">
        <v>2318</v>
      </c>
      <c r="B123" s="3011"/>
      <c r="C123" s="3011"/>
      <c r="D123" s="3056" t="str">
        <f ca="1">NUMBERSTRING(INT(D122*10000),2)&amp;"元整"</f>
        <v>壹亿肆仟零贰拾壹万元整</v>
      </c>
      <c r="E123" s="3058"/>
      <c r="F123" s="3058"/>
      <c r="G123" s="3058"/>
      <c r="H123" s="3058"/>
      <c r="I123" s="3057"/>
    </row>
    <row r="124" spans="1:11" ht="18.75" customHeight="1">
      <c r="A124" s="3062" t="str">
        <f>IF(项目基本情况!B9="房地产市场价值","",MID(E109,3,LEN(E109)-2))</f>
        <v/>
      </c>
      <c r="B124" s="3062"/>
      <c r="C124" s="3062"/>
      <c r="D124" s="3051" t="str">
        <f>H109</f>
        <v>——</v>
      </c>
      <c r="E124" s="3052"/>
      <c r="F124" s="3052"/>
      <c r="G124" s="3052"/>
      <c r="H124" s="3052"/>
      <c r="I124" s="3053"/>
    </row>
    <row r="125" spans="1:11" ht="18.75" customHeight="1">
      <c r="A125" s="3011" t="s">
        <v>2318</v>
      </c>
      <c r="B125" s="3011"/>
      <c r="C125" s="3011"/>
      <c r="D125" s="3056" t="e">
        <f>NUMBERSTRING(INT(D124*10000),2)&amp;"元整"</f>
        <v>#VALUE!</v>
      </c>
      <c r="E125" s="3058"/>
      <c r="F125" s="3058"/>
      <c r="G125" s="3058"/>
      <c r="H125" s="3058"/>
      <c r="I125" s="3057"/>
    </row>
    <row r="126" spans="1:11" ht="18.75" customHeight="1">
      <c r="A126" s="3062" t="str">
        <f>IF(项目基本情况!B9="房地产市场价值","",MID(E111,3,LEN(E111)-2))</f>
        <v/>
      </c>
      <c r="B126" s="3062"/>
      <c r="C126" s="3062"/>
      <c r="D126" s="3051" t="str">
        <f>H111</f>
        <v>——</v>
      </c>
      <c r="E126" s="3052"/>
      <c r="F126" s="3052"/>
      <c r="G126" s="3052"/>
      <c r="H126" s="3052"/>
      <c r="I126" s="3053"/>
    </row>
    <row r="127" spans="1:11" ht="18.75" customHeight="1">
      <c r="A127" s="3011" t="s">
        <v>2318</v>
      </c>
      <c r="B127" s="3011"/>
      <c r="C127" s="3011"/>
      <c r="D127" s="3056" t="e">
        <f>NUMBERSTRING(INT(D126*10000),2)&amp;"元整"</f>
        <v>#VALUE!</v>
      </c>
      <c r="E127" s="3058"/>
      <c r="F127" s="3058"/>
      <c r="G127" s="3058"/>
      <c r="H127" s="3058"/>
      <c r="I127" s="3057"/>
    </row>
    <row r="128" spans="1:11" ht="21.75" customHeight="1">
      <c r="A128" s="3059" t="s">
        <v>2319</v>
      </c>
      <c r="B128" s="3059"/>
      <c r="C128" s="3059"/>
      <c r="D128" s="3059"/>
      <c r="E128" s="3059"/>
      <c r="F128" s="3059"/>
      <c r="G128" s="3059"/>
      <c r="H128" s="3059"/>
      <c r="I128" s="3059"/>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2322</v>
      </c>
      <c r="G135" s="2546"/>
      <c r="H135" s="2546"/>
      <c r="I135" s="2547" t="s">
        <v>2323</v>
      </c>
    </row>
    <row r="136" spans="1:35" ht="21.75" customHeight="1">
      <c r="A136" s="795"/>
      <c r="B136" s="2548"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2325</v>
      </c>
    </row>
    <row r="139" spans="1:35" ht="21.75" customHeight="1">
      <c r="A139" s="795"/>
      <c r="B139" s="2548" t="s">
        <v>2326</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2325</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9" t="s">
        <v>27</v>
      </c>
      <c r="C1" s="242"/>
      <c r="D1" s="242"/>
      <c r="E1" s="242"/>
      <c r="F1" s="242"/>
      <c r="G1" s="1382">
        <f>MATCH(B1,'数据-取费表'!A6:A16,0)+5</f>
        <v>6</v>
      </c>
    </row>
    <row r="2" spans="1:9" s="244" customFormat="1" ht="18" customHeight="1">
      <c r="A2" s="245" t="s">
        <v>2328</v>
      </c>
      <c r="B2" s="246">
        <f ca="1">IF(D2="——",C52,C52-E2)</f>
        <v>14623</v>
      </c>
      <c r="C2" s="243" t="s">
        <v>2329</v>
      </c>
      <c r="D2" s="2551" t="s">
        <v>70</v>
      </c>
      <c r="E2" s="1442" t="e">
        <f ca="1">SUMIF(INDIRECT("'"&amp;G2&amp;"'"&amp;"!A:A"),"承租人权益价值",INDIRECT("'"&amp;G2&amp;"'"&amp;"!c:c"))</f>
        <v>#REF!</v>
      </c>
      <c r="F2" s="2552" t="s">
        <v>2329</v>
      </c>
      <c r="G2" s="2553"/>
    </row>
    <row r="3" spans="1:9" s="244" customFormat="1" ht="18" customHeight="1" thickBot="1">
      <c r="A3" s="247" t="s">
        <v>2330</v>
      </c>
      <c r="B3" s="248">
        <f ca="1">ROUND(B2*10000/(IF(B1="",'数据-汇总表'!E3,INDIRECT("'数据-取费表'!k"&amp;$G$1))),0)</f>
        <v>18924</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 ca="1">C6+C7+C8</f>
        <v>9361</v>
      </c>
      <c r="D5" s="255" t="s">
        <v>2335</v>
      </c>
      <c r="E5" s="256" t="s">
        <v>2336</v>
      </c>
      <c r="F5" s="256" t="s">
        <v>2337</v>
      </c>
      <c r="G5" s="257"/>
    </row>
    <row r="6" spans="1:9" s="258" customFormat="1" ht="13.5" customHeight="1">
      <c r="A6" s="952" t="s">
        <v>2338</v>
      </c>
      <c r="B6" s="259" t="s">
        <v>2339</v>
      </c>
      <c r="C6" s="260">
        <f ca="1">基准地价修正!B2</f>
        <v>8941</v>
      </c>
      <c r="D6" s="261"/>
      <c r="E6" s="262"/>
      <c r="F6" s="262"/>
      <c r="G6" s="263"/>
    </row>
    <row r="7" spans="1:9" s="258" customFormat="1" ht="13.5" customHeight="1">
      <c r="A7" s="952" t="s">
        <v>2340</v>
      </c>
      <c r="B7" s="259" t="s">
        <v>2341</v>
      </c>
      <c r="C7" s="264">
        <f ca="1">ROUND(C6*F7,0)</f>
        <v>273</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147</v>
      </c>
      <c r="D8" s="266"/>
      <c r="E8" s="264"/>
      <c r="F8" s="265"/>
      <c r="G8" s="2554" t="s">
        <v>3085</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160</v>
      </c>
      <c r="F9" s="265"/>
      <c r="G9" s="2555" t="s">
        <v>3086</v>
      </c>
      <c r="H9" s="3274">
        <f ca="1">C10</f>
        <v>147</v>
      </c>
      <c r="I9" s="2556" t="s">
        <v>2345</v>
      </c>
    </row>
    <row r="10" spans="1:9" s="258" customFormat="1" ht="13.5" customHeight="1">
      <c r="A10" s="953" t="s">
        <v>801</v>
      </c>
      <c r="B10" s="268" t="s">
        <v>2346</v>
      </c>
      <c r="C10" s="269">
        <f ca="1">ROUND(D10*E10/10000,0)</f>
        <v>147</v>
      </c>
      <c r="D10" s="1035">
        <f ca="1">IF(B1="",'数据-汇总表'!E6,IF(INDIRECT("'数据-取费表'!c"&amp;$G$1)="住宅",INDIRECT("'数据-取费表'!s"&amp;$G$1),INDIRECT("'数据-取费表'!k"&amp;$G$1)+INDIRECT("'数据-取费表'!s"&amp;$G$1)))</f>
        <v>7727.4000000000005</v>
      </c>
      <c r="E10" s="269">
        <f>'数据-取费表'!B28</f>
        <v>190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7727.4000000000005</v>
      </c>
      <c r="E19" s="255">
        <f>'数据-取费表'!B31</f>
        <v>200</v>
      </c>
      <c r="F19" s="275"/>
      <c r="G19" s="2554" t="s">
        <v>3087</v>
      </c>
    </row>
    <row r="20" spans="1:7" s="258" customFormat="1" ht="13.5" customHeight="1">
      <c r="A20" s="299" t="s">
        <v>2359</v>
      </c>
      <c r="B20" s="254" t="s">
        <v>2360</v>
      </c>
      <c r="C20" s="276">
        <f ca="1">ROUND((C5+C19)*F20,0)</f>
        <v>187</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411</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407</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4</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6.4">
      <c r="A27" s="299" t="s">
        <v>2378</v>
      </c>
      <c r="B27" s="288" t="s">
        <v>2379</v>
      </c>
      <c r="C27" s="289">
        <f ca="1">C28</f>
        <v>1432</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ROUND((C5+C19+C20)*F27*'数据-取费表'!B21/'数据-取费表'!B20,0)</f>
        <v>1432</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12337</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2420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2164</v>
      </c>
      <c r="D34" s="261"/>
      <c r="E34" s="264"/>
      <c r="F34" s="301">
        <f ca="1">IF('数据-取费表'!B24=0,1,IF(B1="",'数据-取费表'!N16,INDIRECT("'数据-取费表'!n"&amp;$G$1)))</f>
        <v>1</v>
      </c>
      <c r="G34" s="263" t="s">
        <v>2392</v>
      </c>
    </row>
    <row r="35" spans="1:7" ht="13.5" customHeight="1">
      <c r="A35" s="954" t="s">
        <v>796</v>
      </c>
      <c r="B35" s="259" t="s">
        <v>2393</v>
      </c>
      <c r="C35" s="264">
        <f ca="1">ROUND(C34*F35,0)</f>
        <v>108</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116</v>
      </c>
      <c r="D37" s="261">
        <f ca="1">D19</f>
        <v>7727.4000000000005</v>
      </c>
      <c r="E37" s="293">
        <f>'数据-取费表'!B35</f>
        <v>150</v>
      </c>
      <c r="F37" s="303"/>
      <c r="G37" s="305" t="s">
        <v>2398</v>
      </c>
    </row>
    <row r="38" spans="1:7" ht="13.5" customHeight="1">
      <c r="A38" s="954" t="s">
        <v>799</v>
      </c>
      <c r="B38" s="259" t="s">
        <v>2399</v>
      </c>
      <c r="C38" s="264">
        <f ca="1">ROUND(C34*F38,0)</f>
        <v>32</v>
      </c>
      <c r="D38" s="264"/>
      <c r="E38" s="264"/>
      <c r="F38" s="303">
        <f>'数据-取费表'!B36</f>
        <v>1.4999999999999999E-2</v>
      </c>
      <c r="G38" s="263" t="s">
        <v>2394</v>
      </c>
    </row>
    <row r="39" spans="1:7" s="258" customFormat="1" ht="13.5" customHeight="1">
      <c r="A39" s="299" t="s">
        <v>2400</v>
      </c>
      <c r="B39" s="254" t="s">
        <v>2401</v>
      </c>
      <c r="C39" s="276">
        <f ca="1">ROUND(C33*F20,0)</f>
        <v>48</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54</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53</v>
      </c>
      <c r="D42" s="282"/>
      <c r="E42" s="282"/>
      <c r="F42" s="283"/>
      <c r="G42" s="3131" t="s">
        <v>2410</v>
      </c>
    </row>
    <row r="43" spans="1:7" ht="13.5" customHeight="1">
      <c r="A43" s="954" t="s">
        <v>792</v>
      </c>
      <c r="B43" s="259" t="s">
        <v>2411</v>
      </c>
      <c r="C43" s="282">
        <f ca="1">ROUND(IF('数据-取费表'!B22&lt;=1,C39*F22*'数据-取费表'!B21/2,C39*(POWER((1+F22),'数据-取费表'!B21/2)-1)),0)</f>
        <v>1</v>
      </c>
      <c r="D43" s="282"/>
      <c r="E43" s="282"/>
      <c r="F43" s="283"/>
      <c r="G43" s="3132"/>
    </row>
    <row r="44" spans="1:7" ht="13.5" customHeight="1">
      <c r="A44" s="954" t="s">
        <v>793</v>
      </c>
      <c r="B44" s="259" t="s">
        <v>2412</v>
      </c>
      <c r="C44" s="282">
        <f ca="1">ROUND(IF('数据-取费表'!B22&lt;=1,C40*F22*'数据-取费表'!B21/2,C40*(POWER((1+F22),'数据-取费表'!B21/2)-1)),4)</f>
        <v>4.0000000000000002E-4</v>
      </c>
      <c r="D44" s="282"/>
      <c r="E44" s="282"/>
      <c r="F44" s="283"/>
      <c r="G44" s="3133"/>
    </row>
    <row r="45" spans="1:7" s="258" customFormat="1" ht="13.5" customHeight="1">
      <c r="A45" s="299" t="s">
        <v>2413</v>
      </c>
      <c r="B45" s="288" t="s">
        <v>2379</v>
      </c>
      <c r="C45" s="289">
        <f ca="1">C46</f>
        <v>370</v>
      </c>
      <c r="D45" s="279">
        <f ca="1">C47</f>
        <v>3.0000000000000001E-3</v>
      </c>
      <c r="E45" s="280" t="s">
        <v>2405</v>
      </c>
      <c r="F45" s="290"/>
      <c r="G45" s="291" t="s">
        <v>2414</v>
      </c>
    </row>
    <row r="46" spans="1:7" s="258" customFormat="1" ht="13.5" customHeight="1">
      <c r="A46" s="954" t="s">
        <v>791</v>
      </c>
      <c r="B46" s="292" t="s">
        <v>2415</v>
      </c>
      <c r="C46" s="293">
        <f ca="1">ROUND((C33+C39)*F27,0)</f>
        <v>370</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3132</v>
      </c>
      <c r="D49" s="276"/>
      <c r="E49" s="276"/>
      <c r="F49" s="308"/>
      <c r="G49" s="278" t="s">
        <v>2420</v>
      </c>
    </row>
    <row r="50" spans="1:7" s="302" customFormat="1" ht="24">
      <c r="A50" s="299" t="s">
        <v>2421</v>
      </c>
      <c r="B50" s="254" t="s">
        <v>2422</v>
      </c>
      <c r="C50" s="276"/>
      <c r="D50" s="276"/>
      <c r="E50" s="276"/>
      <c r="F50" s="308">
        <f>IF('数据-取费表'!B24=0,'数据-取费表'!N16,1)</f>
        <v>0.73</v>
      </c>
      <c r="G50" s="291" t="s">
        <v>2423</v>
      </c>
    </row>
    <row r="51" spans="1:7" ht="16.5" customHeight="1">
      <c r="A51" s="299" t="s">
        <v>2424</v>
      </c>
      <c r="B51" s="254" t="s">
        <v>2425</v>
      </c>
      <c r="C51" s="276">
        <f ca="1">ROUND(C49*F50,0)</f>
        <v>2286</v>
      </c>
      <c r="D51" s="276"/>
      <c r="E51" s="276"/>
      <c r="F51" s="308"/>
      <c r="G51" s="278" t="s">
        <v>2426</v>
      </c>
    </row>
    <row r="52" spans="1:7" s="252" customFormat="1" ht="16.8" thickBot="1">
      <c r="A52" s="309" t="s">
        <v>2427</v>
      </c>
      <c r="B52" s="310"/>
      <c r="C52" s="311">
        <f ca="1">C31+C51</f>
        <v>14623</v>
      </c>
      <c r="D52" s="310"/>
      <c r="E52" s="310"/>
      <c r="F52" s="310"/>
      <c r="G52" s="312"/>
    </row>
    <row r="55" spans="1:7" ht="15">
      <c r="B55" s="314" t="s">
        <v>2428</v>
      </c>
      <c r="C55" s="315"/>
    </row>
    <row r="56" spans="1:7">
      <c r="B56" s="317" t="s">
        <v>1513</v>
      </c>
      <c r="C56" s="319">
        <f ca="1">1-C57</f>
        <v>0.84399999999999997</v>
      </c>
    </row>
    <row r="57" spans="1:7">
      <c r="B57" s="317" t="s">
        <v>1514</v>
      </c>
      <c r="C57" s="318">
        <f ca="1">ROUND(C51/C52,3)</f>
        <v>0.156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46" t="str">
        <f>项目基本情况!B1</f>
        <v>北京市丰台区右安门外玉林里45号楼房地产抵押价值预评估</v>
      </c>
      <c r="C37" s="2946"/>
      <c r="D37" s="2946"/>
      <c r="E37" s="2946"/>
      <c r="F37" s="2946"/>
      <c r="G37" s="2946"/>
      <c r="H37" s="2946"/>
      <c r="I37" s="2946"/>
    </row>
    <row r="38" spans="1:9">
      <c r="A38" s="1019"/>
      <c r="B38" s="1019"/>
    </row>
    <row r="39" spans="1:9">
      <c r="A39" s="1017" t="s">
        <v>818</v>
      </c>
      <c r="B39" s="1017" t="s">
        <v>820</v>
      </c>
    </row>
    <row r="40" spans="1:9">
      <c r="A40" s="1017"/>
      <c r="B40" s="1944" t="str">
        <f>项目基本情况!B5</f>
        <v>北京市国通资产管理有限公司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9"/>
      <c r="C1" s="2557"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2684</v>
      </c>
      <c r="C2" s="243" t="s">
        <v>2329</v>
      </c>
      <c r="D2" s="2551" t="s">
        <v>70</v>
      </c>
      <c r="E2" s="1442" t="e">
        <f ca="1">SUMIF(INDIRECT("'"&amp;G2&amp;"'"&amp;"!A:A"),"承租人权益价值",INDIRECT("'"&amp;G2&amp;"'"&amp;"!c:c"))</f>
        <v>#REF!</v>
      </c>
      <c r="F2" s="2552" t="s">
        <v>2329</v>
      </c>
      <c r="G2" s="2553"/>
    </row>
    <row r="3" spans="1:8" s="244" customFormat="1" ht="18" customHeight="1" thickBot="1">
      <c r="A3" s="247" t="s">
        <v>2330</v>
      </c>
      <c r="B3" s="248">
        <f ca="1">ROUND(B2*10000/(IF(B1="",'数据-汇总表'!E3,INDIRECT("'数据-取费表'!k"&amp;$G$1))),0)</f>
        <v>3473</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1468206</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1468206</v>
      </c>
      <c r="D8" s="266"/>
      <c r="E8" s="264"/>
      <c r="F8" s="265"/>
      <c r="G8" s="2554"/>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2346</v>
      </c>
      <c r="C10" s="269">
        <f ca="1">ROUND(D10*E10,0)</f>
        <v>1468206</v>
      </c>
      <c r="D10" s="1035">
        <f ca="1">IF(B1="",'数据-汇总表'!E6,IF(INDIRECT("'数据-取费表'!c"&amp;$G$1)="住宅",INDIRECT("'数据-取费表'!s"&amp;$G$1),INDIRECT("'数据-取费表'!k"&amp;$G$1)+INDIRECT("'数据-取费表'!s"&amp;$G$1)))</f>
        <v>7727.4000000000015</v>
      </c>
      <c r="E10" s="269">
        <f>'数据-取费表'!B28</f>
        <v>190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1545480</v>
      </c>
      <c r="D19" s="1039">
        <f ca="1">D9+D10</f>
        <v>7727.4000000000015</v>
      </c>
      <c r="E19" s="255">
        <f>'数据-取费表'!B31</f>
        <v>200</v>
      </c>
      <c r="F19" s="275"/>
      <c r="G19" s="2554"/>
    </row>
    <row r="20" spans="1:7" s="258" customFormat="1" ht="13.5" customHeight="1">
      <c r="A20" s="299" t="s">
        <v>2440</v>
      </c>
      <c r="B20" s="254" t="s">
        <v>2441</v>
      </c>
      <c r="C20" s="276">
        <f ca="1">ROUND((C5+C19)*F20,0)</f>
        <v>60274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132406</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63867</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67228</v>
      </c>
      <c r="D24" s="282"/>
      <c r="E24" s="282"/>
      <c r="F24" s="283"/>
      <c r="G24" s="284" t="s">
        <v>2452</v>
      </c>
    </row>
    <row r="25" spans="1:7" s="258" customFormat="1" ht="24">
      <c r="A25" s="954" t="s">
        <v>2342</v>
      </c>
      <c r="B25" s="259" t="s">
        <v>2453</v>
      </c>
      <c r="C25" s="1384">
        <f ca="1">ROUND(IF('数据-取费表'!B22&lt;=1,C20*F22*'数据-取费表'!B22/2,C20*(POWER((1+F22),'数据-取费表'!B22/2)-1)),0)</f>
        <v>1311</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6.4">
      <c r="A27" s="299" t="s">
        <v>2378</v>
      </c>
      <c r="B27" s="288" t="s">
        <v>2379</v>
      </c>
      <c r="C27" s="289">
        <f ca="1">C28</f>
        <v>461094</v>
      </c>
      <c r="D27" s="279">
        <f ca="1">C29</f>
        <v>3.0000000000000001E-3</v>
      </c>
      <c r="E27" s="280" t="s">
        <v>2380</v>
      </c>
      <c r="F27" s="290">
        <f ca="1">IF(B1="",'数据-取费表'!Q16,INDIRECT("'数据-取费表'!q"&amp;$G$1))</f>
        <v>0.15</v>
      </c>
      <c r="G27" s="291" t="s">
        <v>2381</v>
      </c>
    </row>
    <row r="28" spans="1:7" s="258" customFormat="1" ht="13.5" customHeight="1">
      <c r="A28" s="954" t="s">
        <v>791</v>
      </c>
      <c r="B28" s="292" t="s">
        <v>2382</v>
      </c>
      <c r="C28" s="293">
        <f ca="1">ROUND((C5+C19+C20)*F27,0)</f>
        <v>461094</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3972122</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24202217</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21636720</v>
      </c>
      <c r="D34" s="261"/>
      <c r="E34" s="264"/>
      <c r="F34" s="301"/>
      <c r="G34" s="263"/>
    </row>
    <row r="35" spans="1:7" ht="13.5" customHeight="1">
      <c r="A35" s="954" t="s">
        <v>796</v>
      </c>
      <c r="B35" s="259" t="s">
        <v>2393</v>
      </c>
      <c r="C35" s="264">
        <f ca="1">ROUND(C34*F35,0)</f>
        <v>1081836</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1159110</v>
      </c>
      <c r="D37" s="261">
        <f ca="1">D19</f>
        <v>7727.4000000000015</v>
      </c>
      <c r="E37" s="293">
        <f>'数据-取费表'!B35</f>
        <v>150</v>
      </c>
      <c r="F37" s="303"/>
      <c r="G37" s="305"/>
    </row>
    <row r="38" spans="1:7" ht="13.5" customHeight="1">
      <c r="A38" s="954" t="s">
        <v>799</v>
      </c>
      <c r="B38" s="259" t="s">
        <v>2399</v>
      </c>
      <c r="C38" s="264">
        <f ca="1">ROUND(C34*F38,0)</f>
        <v>324551</v>
      </c>
      <c r="D38" s="264"/>
      <c r="E38" s="264"/>
      <c r="F38" s="303">
        <f>'数据-取费表'!B36</f>
        <v>1.4999999999999999E-2</v>
      </c>
      <c r="G38" s="263" t="s">
        <v>2394</v>
      </c>
    </row>
    <row r="39" spans="1:7" s="258" customFormat="1" ht="13.5" customHeight="1">
      <c r="A39" s="299" t="s">
        <v>2400</v>
      </c>
      <c r="B39" s="254" t="s">
        <v>2401</v>
      </c>
      <c r="C39" s="276">
        <f ca="1">ROUND(C33*F20,0)</f>
        <v>484044</v>
      </c>
      <c r="D39" s="276"/>
      <c r="E39" s="276"/>
      <c r="F39" s="277"/>
      <c r="G39" s="278" t="s">
        <v>2402</v>
      </c>
    </row>
    <row r="40" spans="1:7" s="258" customFormat="1" ht="13.5" customHeight="1">
      <c r="A40" s="299" t="s">
        <v>2403</v>
      </c>
      <c r="B40" s="254" t="s">
        <v>2404</v>
      </c>
      <c r="C40" s="1730">
        <f>F21</f>
        <v>0.02</v>
      </c>
      <c r="D40" s="280" t="s">
        <v>2405</v>
      </c>
      <c r="E40" s="276"/>
      <c r="F40" s="277"/>
      <c r="G40" s="278" t="s">
        <v>2406</v>
      </c>
    </row>
    <row r="41" spans="1:7" s="258" customFormat="1" ht="13.5" customHeight="1">
      <c r="A41" s="299" t="s">
        <v>2407</v>
      </c>
      <c r="B41" s="254" t="s">
        <v>2408</v>
      </c>
      <c r="C41" s="276">
        <f ca="1">ROUND(SUM(C42:C43),0)</f>
        <v>536926</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526398</v>
      </c>
      <c r="D42" s="282"/>
      <c r="E42" s="282"/>
      <c r="F42" s="283"/>
      <c r="G42" s="3131" t="s">
        <v>2457</v>
      </c>
    </row>
    <row r="43" spans="1:7" ht="13.5" customHeight="1">
      <c r="A43" s="954" t="s">
        <v>792</v>
      </c>
      <c r="B43" s="259" t="s">
        <v>2411</v>
      </c>
      <c r="C43" s="282">
        <f ca="1">ROUND(IF('数据-取费表'!B22&lt;=1,C39*F22*'数据-取费表'!B20/2,C39*(POWER((1+F22),'数据-取费表'!B20/2)-1)),0)</f>
        <v>10528</v>
      </c>
      <c r="D43" s="282"/>
      <c r="E43" s="282"/>
      <c r="F43" s="283"/>
      <c r="G43" s="3132"/>
    </row>
    <row r="44" spans="1:7" ht="13.5" customHeight="1">
      <c r="A44" s="954" t="s">
        <v>793</v>
      </c>
      <c r="B44" s="259" t="s">
        <v>2412</v>
      </c>
      <c r="C44" s="282">
        <f ca="1">ROUND(IF('数据-取费表'!B22&lt;=1,C40*F22*'数据-取费表'!B20/2,C40*(POWER((1+F22),'数据-取费表'!B20/2)-1)),4)</f>
        <v>4.0000000000000002E-4</v>
      </c>
      <c r="D44" s="282"/>
      <c r="E44" s="282"/>
      <c r="F44" s="283"/>
      <c r="G44" s="3133"/>
    </row>
    <row r="45" spans="1:7" s="258" customFormat="1" ht="13.5" customHeight="1">
      <c r="A45" s="299" t="s">
        <v>2413</v>
      </c>
      <c r="B45" s="288" t="s">
        <v>2379</v>
      </c>
      <c r="C45" s="289">
        <f ca="1">C46</f>
        <v>3702939</v>
      </c>
      <c r="D45" s="279">
        <f ca="1">C47</f>
        <v>3.0000000000000001E-3</v>
      </c>
      <c r="E45" s="280" t="s">
        <v>2405</v>
      </c>
      <c r="F45" s="290"/>
      <c r="G45" s="291" t="s">
        <v>2414</v>
      </c>
    </row>
    <row r="46" spans="1:7" s="258" customFormat="1" ht="13.5" customHeight="1">
      <c r="A46" s="954" t="s">
        <v>791</v>
      </c>
      <c r="B46" s="292" t="s">
        <v>2415</v>
      </c>
      <c r="C46" s="293">
        <f ca="1">ROUND((C33+C39)*F27,0)</f>
        <v>3702939</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31329065</v>
      </c>
      <c r="D49" s="276"/>
      <c r="E49" s="276"/>
      <c r="F49" s="308"/>
      <c r="G49" s="278" t="s">
        <v>2420</v>
      </c>
    </row>
    <row r="50" spans="1:7" s="302" customFormat="1">
      <c r="A50" s="299" t="s">
        <v>2421</v>
      </c>
      <c r="B50" s="254" t="s">
        <v>2422</v>
      </c>
      <c r="C50" s="276"/>
      <c r="D50" s="276"/>
      <c r="E50" s="276"/>
      <c r="F50" s="308">
        <f>IF('数据-取费表'!B24=0,'数据-取费表'!N16,1)</f>
        <v>0.73</v>
      </c>
      <c r="G50" s="291"/>
    </row>
    <row r="51" spans="1:7" ht="16.5" customHeight="1">
      <c r="A51" s="299" t="s">
        <v>2424</v>
      </c>
      <c r="B51" s="254" t="s">
        <v>2459</v>
      </c>
      <c r="C51" s="276">
        <f ca="1">ROUND(C49*F50,0)</f>
        <v>22870217</v>
      </c>
      <c r="D51" s="276"/>
      <c r="E51" s="276"/>
      <c r="F51" s="308"/>
      <c r="G51" s="278" t="s">
        <v>2426</v>
      </c>
    </row>
    <row r="52" spans="1:7" s="252" customFormat="1" ht="16.8" thickBot="1">
      <c r="A52" s="309" t="s">
        <v>2427</v>
      </c>
      <c r="B52" s="310"/>
      <c r="C52" s="311">
        <f ca="1">C31+C51</f>
        <v>26842339</v>
      </c>
      <c r="D52" s="310"/>
      <c r="E52" s="310"/>
      <c r="F52" s="310"/>
      <c r="G52" s="312"/>
    </row>
    <row r="55" spans="1:7" ht="15">
      <c r="B55" s="314" t="s">
        <v>2428</v>
      </c>
      <c r="C55" s="315"/>
    </row>
    <row r="56" spans="1:7">
      <c r="B56" s="317" t="s">
        <v>1513</v>
      </c>
      <c r="C56" s="319">
        <f ca="1">1-C57</f>
        <v>0.14800000000000002</v>
      </c>
    </row>
    <row r="57" spans="1:7">
      <c r="B57" s="317" t="s">
        <v>1514</v>
      </c>
      <c r="C57" s="318">
        <f ca="1">ROUND(C51/C52,3)</f>
        <v>0.85199999999999998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2460</v>
      </c>
      <c r="B1" s="1583"/>
      <c r="C1" s="1584"/>
      <c r="D1" s="1582"/>
      <c r="E1" s="320"/>
      <c r="F1" s="320"/>
      <c r="G1" s="1583"/>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5.2">
      <c r="A5" s="960" t="s">
        <v>2464</v>
      </c>
      <c r="B5" s="961" t="s">
        <v>2465</v>
      </c>
      <c r="C5" s="2558" t="s">
        <v>2466</v>
      </c>
      <c r="D5" s="2558" t="s">
        <v>2467</v>
      </c>
      <c r="E5" s="2558" t="s">
        <v>2468</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7727.4000000000015</v>
      </c>
      <c r="E14" s="24">
        <f>'数据-取费表'!B35</f>
        <v>150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7727.4000000000015</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60"/>
      <c r="H18" s="1579"/>
      <c r="I18" s="2561"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2496</v>
      </c>
      <c r="C20" s="24">
        <f ca="1">ROUND(D20*E20/10000,0)</f>
        <v>147</v>
      </c>
      <c r="D20" s="1036">
        <f ca="1">IF(C1="",'数据-汇总表'!E6,IF(INDIRECT("'数据-取费表'!c"&amp;$K$1)="住宅",INDIRECT("'数据-取费表'!s"&amp;$K$1),INDIRECT("'数据-取费表'!k"&amp;$K$1)+INDIRECT("'数据-取费表'!s"&amp;$K$1)))</f>
        <v>7727.4000000000015</v>
      </c>
      <c r="E20" s="24">
        <f>'数据-取费表'!B28</f>
        <v>190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2510</v>
      </c>
      <c r="B28" s="2563" t="s">
        <v>2511</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4"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4" sqref="C1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1589</v>
      </c>
      <c r="B1" s="782"/>
      <c r="C1" s="1839" t="s">
        <v>27</v>
      </c>
      <c r="D1" s="1822" t="s">
        <v>70</v>
      </c>
      <c r="E1" s="1823" t="s">
        <v>1387</v>
      </c>
      <c r="F1" s="1286">
        <f ca="1">J53</f>
        <v>26.51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13418</v>
      </c>
      <c r="C2" s="1847" t="s">
        <v>1516</v>
      </c>
      <c r="D2" s="1847"/>
      <c r="E2" s="1848"/>
      <c r="F2" s="1849"/>
      <c r="G2" s="1850"/>
      <c r="H2" s="1842"/>
      <c r="I2" s="1842"/>
      <c r="J2" s="1842"/>
      <c r="K2" s="1843"/>
      <c r="L2" s="1842"/>
      <c r="M2" s="1842"/>
    </row>
    <row r="3" spans="1:37" ht="18" customHeight="1" thickBot="1">
      <c r="A3" s="1851" t="s">
        <v>1517</v>
      </c>
      <c r="B3" s="1852">
        <f ca="1">IF(ISERROR(B2*10000/F43),0,ROUND(B2*10000/F43,0))</f>
        <v>17364</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940</v>
      </c>
      <c r="D5" s="1824" t="s">
        <v>1402</v>
      </c>
      <c r="E5" s="1296"/>
      <c r="F5" s="1297"/>
      <c r="G5" s="1853"/>
      <c r="H5" s="344">
        <v>1</v>
      </c>
      <c r="I5" s="345" t="s">
        <v>1401</v>
      </c>
      <c r="J5" s="1295">
        <f ca="1">J6+J10+J12</f>
        <v>0</v>
      </c>
      <c r="K5" s="1824" t="s">
        <v>1402</v>
      </c>
      <c r="L5" s="1296"/>
      <c r="M5" s="1297"/>
    </row>
    <row r="6" spans="1:37" ht="18" customHeight="1">
      <c r="A6" s="1294" t="s">
        <v>1035</v>
      </c>
      <c r="B6" s="3136" t="s">
        <v>1403</v>
      </c>
      <c r="C6" s="1299">
        <f ca="1">ROUND(F6*F8*F7*(1-F9)/10000,0)</f>
        <v>939</v>
      </c>
      <c r="D6" s="164" t="s">
        <v>3032</v>
      </c>
      <c r="E6" s="347" t="s">
        <v>1405</v>
      </c>
      <c r="F6" s="348">
        <f ca="1">INDIRECT("'数据-取费表'!u"&amp;$G$1)</f>
        <v>3.7</v>
      </c>
      <c r="G6" s="1853"/>
      <c r="H6" s="1294" t="s">
        <v>1035</v>
      </c>
      <c r="I6" s="3136" t="s">
        <v>1403</v>
      </c>
      <c r="J6" s="346">
        <f ca="1">ROUND(M6*M8*M7*(1-M9)/10000,0)</f>
        <v>0</v>
      </c>
      <c r="K6" s="164" t="s">
        <v>3031</v>
      </c>
      <c r="L6" s="347" t="s">
        <v>1405</v>
      </c>
      <c r="M6" s="348">
        <f ca="1">INDIRECT("'数据-取费表'!z"&amp;$G$1)</f>
        <v>0</v>
      </c>
    </row>
    <row r="7" spans="1:37" ht="18" customHeight="1">
      <c r="A7" s="1298"/>
      <c r="B7" s="3137"/>
      <c r="C7" s="1300"/>
      <c r="D7" s="352"/>
      <c r="E7" s="1301" t="s">
        <v>1406</v>
      </c>
      <c r="F7" s="348">
        <f ca="1">IF(INDIRECT("'数据-取费表'!ah"&amp;$G$1)="",INDIRECT("'数据-取费表'!k"&amp;$G$1),INDIRECT("'数据-取费表'!ah"&amp;$G$1))</f>
        <v>7727.4000000000005</v>
      </c>
      <c r="G7" s="1853"/>
      <c r="H7" s="349"/>
      <c r="I7" s="3137"/>
      <c r="J7" s="351"/>
      <c r="K7" s="352"/>
      <c r="L7" s="347" t="s">
        <v>1406</v>
      </c>
      <c r="M7" s="348">
        <f ca="1">F7</f>
        <v>7727.4000000000005</v>
      </c>
    </row>
    <row r="8" spans="1:37" ht="18" customHeight="1">
      <c r="A8" s="349"/>
      <c r="B8" s="3137"/>
      <c r="C8" s="351"/>
      <c r="D8" s="352"/>
      <c r="E8" s="347" t="s">
        <v>1407</v>
      </c>
      <c r="F8" s="348">
        <f ca="1">INDIRECT("'数据-取费表'!ai"&amp;$G$1)</f>
        <v>365</v>
      </c>
      <c r="G8" s="1853"/>
      <c r="H8" s="349"/>
      <c r="I8" s="3137"/>
      <c r="J8" s="351"/>
      <c r="K8" s="352"/>
      <c r="L8" s="347" t="s">
        <v>1407</v>
      </c>
      <c r="M8" s="348">
        <f ca="1">INDIRECT("'数据-取费表'!ai"&amp;$G$1)</f>
        <v>365</v>
      </c>
    </row>
    <row r="9" spans="1:37" ht="18" customHeight="1">
      <c r="A9" s="349"/>
      <c r="B9" s="3138"/>
      <c r="C9" s="351"/>
      <c r="D9" s="352"/>
      <c r="E9" s="347" t="s">
        <v>1408</v>
      </c>
      <c r="F9" s="357">
        <f ca="1">INDIRECT("'数据-取费表'!w"&amp;$G$1)</f>
        <v>0.1</v>
      </c>
      <c r="G9" s="1853"/>
      <c r="H9" s="349"/>
      <c r="I9" s="3138"/>
      <c r="J9" s="351"/>
      <c r="K9" s="352"/>
      <c r="L9" s="358" t="s">
        <v>1408</v>
      </c>
      <c r="M9" s="359">
        <f ca="1">INDIRECT("'数据-取费表'!ab"&amp;$G$1)</f>
        <v>0</v>
      </c>
    </row>
    <row r="10" spans="1:37" ht="18" customHeight="1">
      <c r="A10" s="1294" t="s">
        <v>1039</v>
      </c>
      <c r="B10" s="1825" t="s">
        <v>1409</v>
      </c>
      <c r="C10" s="361">
        <f ca="1">ROUND(IF(F10="押一",C6/12*F11,IF(F10="押二",C6/12*2*F11,IF(F10="押三",C6/12*3*F11,C11*F11))),0)</f>
        <v>1</v>
      </c>
      <c r="D10" s="1826" t="s">
        <v>3041</v>
      </c>
      <c r="E10" s="358" t="s">
        <v>1410</v>
      </c>
      <c r="F10" s="1369" t="s">
        <v>3081</v>
      </c>
      <c r="G10" s="1853"/>
      <c r="H10" s="1294" t="s">
        <v>1039</v>
      </c>
      <c r="I10" s="1825" t="s">
        <v>1409</v>
      </c>
      <c r="J10" s="346">
        <f ca="1">ROUND(IF(M10="押一",J6/12*M11,IF(M10="押二",J6/12*2*M11,IF(M10="押三",J6/12*3*M11,J11*M11))),0)</f>
        <v>0</v>
      </c>
      <c r="K10" s="1826" t="s">
        <v>3040</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2286</v>
      </c>
      <c r="D13" s="1334" t="s">
        <v>1415</v>
      </c>
      <c r="E13" s="1334" t="s">
        <v>1416</v>
      </c>
      <c r="F13" s="1335">
        <f ca="1">INDIRECT("'数据-取费表'!y"&amp;$G$1)</f>
        <v>0.73</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2164</v>
      </c>
      <c r="D14" s="1802" t="s">
        <v>1418</v>
      </c>
      <c r="E14" s="1796"/>
      <c r="F14" s="364"/>
      <c r="G14" s="1853"/>
      <c r="H14" s="1204" t="s">
        <v>1035</v>
      </c>
      <c r="I14" s="347" t="s">
        <v>1419</v>
      </c>
      <c r="J14" s="24">
        <f ca="1">C29</f>
        <v>3132</v>
      </c>
      <c r="K14" s="15"/>
      <c r="L14" s="982"/>
      <c r="M14" s="983"/>
    </row>
    <row r="15" spans="1:37" s="1860" customFormat="1" ht="18" customHeight="1" thickBot="1">
      <c r="A15" s="1204" t="s">
        <v>1036</v>
      </c>
      <c r="B15" s="347" t="s">
        <v>1420</v>
      </c>
      <c r="C15" s="24">
        <f ca="1">ROUND(C14*F15,0)</f>
        <v>108</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78</v>
      </c>
      <c r="K16" s="1340" t="s">
        <v>1425</v>
      </c>
      <c r="L16" s="1341"/>
      <c r="M16" s="1297"/>
    </row>
    <row r="17" spans="1:37" s="1860" customFormat="1" ht="18" customHeight="1">
      <c r="A17" s="1204" t="s">
        <v>1390</v>
      </c>
      <c r="B17" s="347" t="s">
        <v>1426</v>
      </c>
      <c r="C17" s="24">
        <f ca="1">ROUND(F17*(F43+INDIRECT("'数据-取费表'!S"&amp;$G$1))/10000,0)</f>
        <v>116</v>
      </c>
      <c r="D17" s="347" t="s">
        <v>1427</v>
      </c>
      <c r="E17" s="347" t="s">
        <v>1428</v>
      </c>
      <c r="F17" s="26">
        <f>'数据-取费表'!B35</f>
        <v>150</v>
      </c>
      <c r="G17" s="1856"/>
      <c r="H17" s="1204" t="s">
        <v>1035</v>
      </c>
      <c r="I17" s="347" t="s">
        <v>1429</v>
      </c>
      <c r="J17" s="24">
        <f ca="1">ROUND(IF(项目基本情况!B11="自然人",J5*M17,J18+J19+J20),1)</f>
        <v>30.5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32</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2420</v>
      </c>
      <c r="D19" s="140" t="s">
        <v>1436</v>
      </c>
      <c r="E19" s="1820"/>
      <c r="F19" s="26"/>
      <c r="G19" s="1853"/>
      <c r="H19" s="1204" t="s">
        <v>1036</v>
      </c>
      <c r="I19" s="347" t="s">
        <v>1437</v>
      </c>
      <c r="J19" s="24">
        <f ca="1">IF(K19="按租金收入计税",ROUND(J5*M19,2),ROUND(C29*M19*0.7,2))</f>
        <v>26.31</v>
      </c>
      <c r="K19" s="1830" t="s">
        <v>1438</v>
      </c>
      <c r="L19" s="347" t="s">
        <v>1422</v>
      </c>
      <c r="M19" s="367">
        <f>IF(K19="按租金收入计税",'数据-取费表'!B51,'数据-取费表'!B50)</f>
        <v>1.2E-2</v>
      </c>
    </row>
    <row r="20" spans="1:37" s="1860" customFormat="1" ht="18" customHeight="1">
      <c r="A20" s="1204" t="s">
        <v>1039</v>
      </c>
      <c r="B20" s="347" t="s">
        <v>1439</v>
      </c>
      <c r="C20" s="24">
        <f ca="1">ROUND(C19*F20,0)</f>
        <v>48</v>
      </c>
      <c r="D20" s="369" t="s">
        <v>1440</v>
      </c>
      <c r="E20" s="347" t="s">
        <v>1422</v>
      </c>
      <c r="F20" s="367">
        <f>'数据-取费表'!B37</f>
        <v>0.02</v>
      </c>
      <c r="G20" s="1856"/>
      <c r="H20" s="1204" t="s">
        <v>1389</v>
      </c>
      <c r="I20" s="164" t="s">
        <v>1441</v>
      </c>
      <c r="J20" s="25">
        <f ca="1">ROUND(M20*M21/10000,2)</f>
        <v>4.18</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1742.42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ROUND(J14*M22,1)</f>
        <v>47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54</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-78</v>
      </c>
      <c r="K25" s="1348" t="s">
        <v>1464</v>
      </c>
      <c r="L25" s="1349"/>
      <c r="M25" s="1350"/>
    </row>
    <row r="26" spans="1:37">
      <c r="A26" s="1204" t="s">
        <v>1034</v>
      </c>
      <c r="B26" s="347" t="s">
        <v>1465</v>
      </c>
      <c r="C26" s="24">
        <f ca="1">ROUND((C19+C20)*F26,0)</f>
        <v>370</v>
      </c>
      <c r="D26" s="369" t="s">
        <v>1466</v>
      </c>
      <c r="E26" s="358" t="s">
        <v>1467</v>
      </c>
      <c r="F26" s="357">
        <f ca="1">INDIRECT("'数据-取费表'!q"&amp;$G$1)</f>
        <v>0.15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3132</v>
      </c>
      <c r="D29" s="1345"/>
      <c r="E29" s="1343"/>
      <c r="F29" s="1346"/>
      <c r="G29" s="1856"/>
      <c r="H29" s="380" t="s">
        <v>1033</v>
      </c>
      <c r="I29" s="381" t="s">
        <v>1479</v>
      </c>
      <c r="J29" s="382">
        <f ca="1">ROUND(J26/(1+F40)^F41,0)</f>
        <v>0</v>
      </c>
      <c r="K29" s="383" t="s">
        <v>1480</v>
      </c>
      <c r="L29" s="384"/>
      <c r="M29" s="385">
        <f ca="1">INDIRECT("'数据-取费表'!k"&amp;$G$1)</f>
        <v>7727.4000000000005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227</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167.1</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50.13</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112.8</v>
      </c>
      <c r="D33" s="1830" t="s">
        <v>3082</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4.18</v>
      </c>
      <c r="D34" s="370" t="s">
        <v>1442</v>
      </c>
      <c r="E34" s="347" t="s">
        <v>1443</v>
      </c>
      <c r="F34" s="371">
        <f>'数据-取费表'!B52</f>
        <v>24</v>
      </c>
      <c r="G34" s="1853"/>
      <c r="H34" s="745"/>
      <c r="I34" s="1862"/>
      <c r="J34" s="1863"/>
      <c r="K34" s="1865"/>
      <c r="L34" s="1866"/>
      <c r="M34" s="1866"/>
    </row>
    <row r="35" spans="1:18" ht="18" customHeight="1">
      <c r="A35" s="1356"/>
      <c r="B35" s="1354"/>
      <c r="C35" s="29"/>
      <c r="D35" s="373"/>
      <c r="E35" s="347" t="s">
        <v>1447</v>
      </c>
      <c r="F35" s="348">
        <f ca="1">INDIRECT("'数据-取费表'!r"&amp;$G$1)</f>
        <v>1742.42</v>
      </c>
      <c r="G35" s="1853"/>
      <c r="H35" s="745"/>
      <c r="I35" s="1862"/>
      <c r="J35" s="1863"/>
      <c r="K35" s="1864"/>
      <c r="L35" s="1861"/>
      <c r="M35" s="1861"/>
    </row>
    <row r="36" spans="1:18" ht="18" customHeight="1">
      <c r="A36" s="1355" t="s">
        <v>1039</v>
      </c>
      <c r="B36" s="347" t="s">
        <v>1449</v>
      </c>
      <c r="C36" s="24">
        <f ca="1">ROUND(C29*F36,1)</f>
        <v>47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3.4</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9.4</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713</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13418</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26.51</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17364</v>
      </c>
      <c r="D43" s="383" t="s">
        <v>1488</v>
      </c>
      <c r="E43" s="384" t="s">
        <v>1489</v>
      </c>
      <c r="F43" s="385">
        <f ca="1">INDIRECT("'数据-取费表'!k"&amp;$G$1)</f>
        <v>7727.4000000000005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8" thickBot="1">
      <c r="A46" s="1872" t="s">
        <v>1520</v>
      </c>
      <c r="C46" s="1873">
        <f ca="1">C68-C40</f>
        <v>-17801</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8" thickBot="1">
      <c r="A47" s="1168" t="s">
        <v>1396</v>
      </c>
      <c r="B47" s="1200" t="s">
        <v>1397</v>
      </c>
      <c r="C47" s="1370" t="s">
        <v>1398</v>
      </c>
      <c r="D47" s="1200" t="s">
        <v>1399</v>
      </c>
      <c r="E47" s="1282" t="s">
        <v>1400</v>
      </c>
      <c r="F47" s="1283"/>
      <c r="G47" s="792"/>
      <c r="I47" s="1882" t="s">
        <v>1526</v>
      </c>
      <c r="J47" s="1883" t="s">
        <v>3083</v>
      </c>
      <c r="K47" s="1884" t="s">
        <v>1527</v>
      </c>
      <c r="L47" s="1885">
        <f ca="1">INDIRECT("'数据-取费表'!d"&amp;$G$1)</f>
        <v>50</v>
      </c>
      <c r="M47" s="1840" t="str">
        <f>IF(ISNUMBER(FIND("住宅",C1)),"住宅","非住宅")</f>
        <v>非住宅</v>
      </c>
      <c r="O47" s="1886" t="s">
        <v>1040</v>
      </c>
      <c r="P47" s="1887" t="s">
        <v>1528</v>
      </c>
      <c r="Q47" s="1888">
        <f ca="1">C40+J29</f>
        <v>13418</v>
      </c>
      <c r="R47" s="1888" t="s">
        <v>1529</v>
      </c>
    </row>
    <row r="48" spans="1:18" s="1844" customFormat="1" ht="40.200000000000003" thickBot="1">
      <c r="A48" s="1363" t="s">
        <v>1135</v>
      </c>
      <c r="B48" s="345" t="s">
        <v>1401</v>
      </c>
      <c r="C48" s="1819">
        <f ca="1">C49+C53+C55</f>
        <v>0</v>
      </c>
      <c r="D48" s="1365"/>
      <c r="E48" s="1366"/>
      <c r="F48" s="1184"/>
      <c r="G48" s="792"/>
      <c r="H48" s="793"/>
      <c r="I48" s="1889" t="s">
        <v>1530</v>
      </c>
      <c r="J48" s="1890" t="s">
        <v>3084</v>
      </c>
      <c r="K48" s="1891" t="s">
        <v>1531</v>
      </c>
      <c r="L48" s="1892">
        <f ca="1">INDIRECT("'数据-取费表'!f"&amp;$G$1)</f>
        <v>26.51</v>
      </c>
      <c r="O48" s="1886" t="s">
        <v>1041</v>
      </c>
      <c r="P48" s="1887" t="s">
        <v>1532</v>
      </c>
      <c r="Q48" s="1888" t="str">
        <f ca="1">J60</f>
        <v>0</v>
      </c>
      <c r="R48" s="1888" t="s">
        <v>1533</v>
      </c>
    </row>
    <row r="49" spans="1:18" s="1844" customFormat="1" ht="13.8" thickBot="1">
      <c r="A49" s="1197" t="s">
        <v>1136</v>
      </c>
      <c r="B49" s="1831" t="s">
        <v>1490</v>
      </c>
      <c r="C49" s="1367">
        <f ca="1">ROUND(F49*F51*F50*(1-F52)/10000,0)</f>
        <v>0</v>
      </c>
      <c r="D49" s="1279" t="s">
        <v>3033</v>
      </c>
      <c r="E49" s="1832" t="s">
        <v>1491</v>
      </c>
      <c r="F49" s="1284"/>
      <c r="G49" s="1893"/>
      <c r="H49" s="793"/>
      <c r="I49" s="1889" t="s">
        <v>1534</v>
      </c>
      <c r="J49" s="1894">
        <v>1996</v>
      </c>
      <c r="K49" s="1891" t="s">
        <v>1535</v>
      </c>
      <c r="L49" s="1895"/>
      <c r="O49" s="1896" t="s">
        <v>1042</v>
      </c>
      <c r="P49" s="1887" t="s">
        <v>1536</v>
      </c>
      <c r="Q49" s="1888">
        <f ca="1">C29</f>
        <v>3132</v>
      </c>
      <c r="R49" s="1888" t="s">
        <v>1529</v>
      </c>
    </row>
    <row r="50" spans="1:18" s="1844" customFormat="1" ht="13.8" thickBot="1">
      <c r="A50" s="1198"/>
      <c r="B50" s="1201"/>
      <c r="C50" s="1371"/>
      <c r="D50" s="1175"/>
      <c r="E50" s="1280" t="s">
        <v>1406</v>
      </c>
      <c r="F50" s="1281">
        <f ca="1">F7</f>
        <v>7727.4000000000005</v>
      </c>
      <c r="H50" s="793"/>
      <c r="I50" s="1889" t="s">
        <v>1537</v>
      </c>
      <c r="J50" s="1897">
        <f>SUMPRODUCT((I63:I65=J47)*(J62:L62=J48)*(J63:L65))</f>
        <v>50</v>
      </c>
      <c r="K50" s="1891" t="s">
        <v>1538</v>
      </c>
      <c r="L50" s="1895"/>
      <c r="M50" s="1898"/>
      <c r="O50" s="1896" t="s">
        <v>1043</v>
      </c>
      <c r="P50" s="1887" t="s">
        <v>1539</v>
      </c>
      <c r="Q50" s="1899" t="e">
        <f ca="1">J58</f>
        <v>#VALUE!</v>
      </c>
      <c r="R50" s="1888"/>
    </row>
    <row r="51" spans="1:18" s="1844" customFormat="1" ht="13.8" thickBot="1">
      <c r="A51" s="1199"/>
      <c r="B51" s="1201"/>
      <c r="C51" s="1202"/>
      <c r="D51" s="1175"/>
      <c r="E51" s="1203" t="s">
        <v>1407</v>
      </c>
      <c r="F51" s="348">
        <f ca="1">F8</f>
        <v>365</v>
      </c>
      <c r="I51" s="1900" t="s">
        <v>1540</v>
      </c>
      <c r="J51" s="1901">
        <f>IF(J49="",J50,J49+J50-YEAR('数据-取费表'!B2))</f>
        <v>28</v>
      </c>
      <c r="K51" s="1902" t="s">
        <v>1541</v>
      </c>
      <c r="L51" s="1903">
        <f ca="1">ROUND(-PV(INDIRECT("'数据-取费表'!h"&amp;$G$1),L48,(C39-C13*C76),0),0)</f>
        <v>7528</v>
      </c>
      <c r="M51" s="1904"/>
      <c r="O51" s="1896" t="s">
        <v>1044</v>
      </c>
      <c r="P51" s="1887" t="s">
        <v>1542</v>
      </c>
      <c r="Q51" s="1899">
        <f>J52</f>
        <v>0.09</v>
      </c>
      <c r="R51" s="1888"/>
    </row>
    <row r="52" spans="1:18" s="1844" customFormat="1" ht="13.8" thickBot="1">
      <c r="A52" s="1199"/>
      <c r="B52" s="1201"/>
      <c r="C52" s="1202"/>
      <c r="D52" s="1175"/>
      <c r="E52" s="1203" t="s">
        <v>1408</v>
      </c>
      <c r="F52" s="1278"/>
      <c r="I52" s="1905" t="s">
        <v>1543</v>
      </c>
      <c r="J52" s="1906">
        <v>0.09</v>
      </c>
      <c r="K52" s="1905" t="s">
        <v>1544</v>
      </c>
      <c r="L52" s="1906"/>
      <c r="O52" s="1896" t="s">
        <v>1045</v>
      </c>
      <c r="P52" s="1887" t="s">
        <v>1545</v>
      </c>
      <c r="Q52" s="1888">
        <f ca="1">J53</f>
        <v>26.51</v>
      </c>
      <c r="R52" s="1888" t="s">
        <v>1546</v>
      </c>
    </row>
    <row r="53" spans="1:18" s="1844" customFormat="1" ht="36.6" thickBot="1">
      <c r="A53" s="1407" t="s">
        <v>1137</v>
      </c>
      <c r="B53" s="1833" t="s">
        <v>1409</v>
      </c>
      <c r="C53" s="361">
        <f ca="1">ROUND(IF(F53="押一",C49/12*F11,IF(F53="押二",C49/12*2*F11,IF(F53="押三",C49/12*3*F11,C54*F11))),0)</f>
        <v>0</v>
      </c>
      <c r="D53" s="1826" t="s">
        <v>3040</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26.51</v>
      </c>
      <c r="K53" s="3134" t="s">
        <v>1548</v>
      </c>
      <c r="L53" s="3135"/>
      <c r="O53" s="1886" t="s">
        <v>1046</v>
      </c>
      <c r="P53" s="1887" t="s">
        <v>1549</v>
      </c>
      <c r="Q53" s="1888">
        <f ca="1">Q47+Q48</f>
        <v>13418</v>
      </c>
      <c r="R53" s="1888" t="s">
        <v>1047</v>
      </c>
    </row>
    <row r="54" spans="1:18" s="1844" customFormat="1" ht="24.6"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8"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37.200000000000003" thickTop="1" thickBot="1">
      <c r="A56" s="1179">
        <v>2</v>
      </c>
      <c r="B56" s="1180" t="s">
        <v>1414</v>
      </c>
      <c r="C56" s="276">
        <f ca="1">C13</f>
        <v>2286</v>
      </c>
      <c r="D56" s="1916"/>
      <c r="E56" s="1917"/>
      <c r="F56" s="1909"/>
      <c r="I56" s="1918" t="s">
        <v>1554</v>
      </c>
      <c r="J56" s="1919" t="s">
        <v>3068</v>
      </c>
      <c r="K56" s="1889" t="s">
        <v>1555</v>
      </c>
      <c r="L56" s="1892" t="str">
        <f ca="1">IF(L48&lt;J51,"——",L48-J53)</f>
        <v>——</v>
      </c>
      <c r="O56" s="1886" t="s">
        <v>1040</v>
      </c>
      <c r="P56" s="1887" t="s">
        <v>1528</v>
      </c>
      <c r="Q56" s="1888">
        <f ca="1">C40+J29</f>
        <v>13418</v>
      </c>
      <c r="R56" s="1888" t="s">
        <v>1529</v>
      </c>
    </row>
    <row r="57" spans="1:18" s="1844" customFormat="1" ht="24.6" thickBot="1">
      <c r="A57" s="1920"/>
      <c r="B57" s="1172" t="s">
        <v>1478</v>
      </c>
      <c r="C57" s="282">
        <f ca="1">C29</f>
        <v>3132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6" thickBot="1">
      <c r="A58" s="360" t="s">
        <v>1030</v>
      </c>
      <c r="B58" s="1180" t="s">
        <v>1424</v>
      </c>
      <c r="C58" s="361">
        <f ca="1">ROUND(C59+C64+C65+C66,0)</f>
        <v>318</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6" thickBot="1">
      <c r="A59" s="1204" t="s">
        <v>1035</v>
      </c>
      <c r="B59" s="1172" t="s">
        <v>1429</v>
      </c>
      <c r="C59" s="24">
        <f ca="1">ROUND(IF(项目基本情况!B11="自然人",C48*F59,C60+C61+C62),1)</f>
        <v>267.3</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2"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8" thickBot="1">
      <c r="A61" s="1204" t="s">
        <v>1492</v>
      </c>
      <c r="B61" s="1172" t="s">
        <v>1493</v>
      </c>
      <c r="C61" s="24">
        <f ca="1">IF(项目基本情况!B11="自然人","——",IF(D61="按租金收入计税",ROUND(C48*F61,2),IF(D61="按房产原值计税",ROUND(C57*F61*0.7,2),INDIRECT("'数据-取费表'!Aj"&amp;$G$1))))</f>
        <v>263.08999999999997</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8" thickBot="1">
      <c r="A62" s="1204" t="s">
        <v>1495</v>
      </c>
      <c r="B62" s="1171" t="s">
        <v>1496</v>
      </c>
      <c r="C62" s="25">
        <f ca="1">IF(项目基本情况!B11="自然人","——",ROUND(F62*F63/10000,2))</f>
        <v>4.18</v>
      </c>
      <c r="D62" s="1187" t="s">
        <v>1497</v>
      </c>
      <c r="E62" s="1172" t="s">
        <v>1498</v>
      </c>
      <c r="F62" s="371">
        <f t="shared" si="0"/>
        <v>24</v>
      </c>
      <c r="I62" s="1931" t="s">
        <v>1570</v>
      </c>
      <c r="J62" s="1932" t="s">
        <v>1571</v>
      </c>
      <c r="K62" s="1932" t="s">
        <v>1572</v>
      </c>
      <c r="L62" s="1932" t="s">
        <v>1573</v>
      </c>
      <c r="M62" s="1933" t="s">
        <v>1574</v>
      </c>
      <c r="O62" s="1886" t="s">
        <v>1046</v>
      </c>
      <c r="P62" s="1887" t="s">
        <v>1575</v>
      </c>
      <c r="Q62" s="1888">
        <f ca="1">Q56+Q57</f>
        <v>13418</v>
      </c>
      <c r="R62" s="1888" t="s">
        <v>1047</v>
      </c>
    </row>
    <row r="63" spans="1:18" s="1844" customFormat="1" ht="13.8" thickBot="1">
      <c r="A63" s="372"/>
      <c r="B63" s="1178"/>
      <c r="C63" s="29"/>
      <c r="D63" s="1188"/>
      <c r="E63" s="1172" t="s">
        <v>1499</v>
      </c>
      <c r="F63" s="348">
        <f t="shared" ca="1" si="0"/>
        <v>1742.42</v>
      </c>
      <c r="I63" s="1931" t="s">
        <v>1576</v>
      </c>
      <c r="J63" s="1932">
        <v>70</v>
      </c>
      <c r="K63" s="1932">
        <v>50</v>
      </c>
      <c r="L63" s="1932">
        <v>80</v>
      </c>
      <c r="M63" s="1934">
        <v>0.02</v>
      </c>
      <c r="O63" s="1871" t="s">
        <v>1577</v>
      </c>
      <c r="P63" s="1841"/>
      <c r="Q63" s="1841"/>
      <c r="R63" s="1841"/>
    </row>
    <row r="64" spans="1:18" s="1844" customFormat="1" ht="13.8" thickBot="1">
      <c r="A64" s="1204" t="s">
        <v>1500</v>
      </c>
      <c r="B64" s="1172" t="s">
        <v>1501</v>
      </c>
      <c r="C64" s="24">
        <f ca="1">ROUND(C57*F64,1)</f>
        <v>47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8" thickBot="1">
      <c r="A65" s="1204" t="s">
        <v>1503</v>
      </c>
      <c r="B65" s="1172" t="s">
        <v>1453</v>
      </c>
      <c r="C65" s="24">
        <f ca="1">ROUND(C56*F65,1)</f>
        <v>3.4</v>
      </c>
      <c r="D65" s="1186" t="s">
        <v>1454</v>
      </c>
      <c r="E65" s="1172" t="s">
        <v>1455</v>
      </c>
      <c r="F65" s="376">
        <f t="shared" ca="1" si="0"/>
        <v>1.5E-3</v>
      </c>
      <c r="I65" s="1931" t="s">
        <v>1579</v>
      </c>
      <c r="J65" s="1932">
        <v>40</v>
      </c>
      <c r="K65" s="1932">
        <v>30</v>
      </c>
      <c r="L65" s="1932">
        <v>50</v>
      </c>
      <c r="M65" s="1934">
        <v>0.02</v>
      </c>
      <c r="O65" s="1886" t="s">
        <v>1040</v>
      </c>
      <c r="P65" s="1887" t="s">
        <v>1580</v>
      </c>
      <c r="Q65" s="1888">
        <f ca="1">C40+J29</f>
        <v>13418</v>
      </c>
      <c r="R65" s="1888" t="s">
        <v>1529</v>
      </c>
    </row>
    <row r="66" spans="1:18" s="1844" customFormat="1" ht="16.2"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24.6" thickBot="1">
      <c r="A67" s="1179" t="s">
        <v>1031</v>
      </c>
      <c r="B67" s="1189" t="s">
        <v>1463</v>
      </c>
      <c r="C67" s="361">
        <f ca="1">C48-C58</f>
        <v>-318</v>
      </c>
      <c r="D67" s="1185" t="s">
        <v>1464</v>
      </c>
      <c r="E67" s="1190"/>
      <c r="F67" s="1191"/>
      <c r="O67" s="1896" t="s">
        <v>1042</v>
      </c>
      <c r="P67" s="1887" t="s">
        <v>1562</v>
      </c>
      <c r="Q67" s="1935">
        <f ca="1">L51</f>
        <v>7528</v>
      </c>
      <c r="R67" s="1888" t="s">
        <v>1582</v>
      </c>
    </row>
    <row r="68" spans="1:18" s="1844" customFormat="1" ht="16.2" thickBot="1">
      <c r="A68" s="1169" t="s">
        <v>1032</v>
      </c>
      <c r="B68" s="1170" t="s">
        <v>1485</v>
      </c>
      <c r="C68" s="346">
        <f ca="1">ROUND(C67*(1-((1+F70)/(1+F68))^F69)/(F68-F70),0)</f>
        <v>-4383</v>
      </c>
      <c r="D68" s="1187" t="s">
        <v>1469</v>
      </c>
      <c r="E68" s="1172" t="s">
        <v>1470</v>
      </c>
      <c r="F68" s="357">
        <f ca="1">F40</f>
        <v>5.5E-2</v>
      </c>
      <c r="O68" s="1896" t="s">
        <v>1043</v>
      </c>
      <c r="P68" s="1936" t="s">
        <v>1583</v>
      </c>
      <c r="Q68" s="1888">
        <f ca="1">ROUND(Q69-Q70*Q71,0)</f>
        <v>519</v>
      </c>
      <c r="R68" s="1888" t="s">
        <v>1051</v>
      </c>
    </row>
    <row r="69" spans="1:18" s="1844" customFormat="1" ht="13.8" thickBot="1">
      <c r="A69" s="1173"/>
      <c r="B69" s="1174"/>
      <c r="C69" s="351"/>
      <c r="D69" s="1192" t="s">
        <v>1473</v>
      </c>
      <c r="E69" s="1172" t="s">
        <v>1474</v>
      </c>
      <c r="F69" s="379">
        <f ca="1">F41</f>
        <v>26.51</v>
      </c>
      <c r="O69" s="1896" t="s">
        <v>1048</v>
      </c>
      <c r="P69" s="1936" t="s">
        <v>1584</v>
      </c>
      <c r="Q69" s="1888">
        <f ca="1">C39</f>
        <v>713</v>
      </c>
      <c r="R69" s="1888" t="s">
        <v>1529</v>
      </c>
    </row>
    <row r="70" spans="1:18" s="1844" customFormat="1" ht="13.8" thickBot="1">
      <c r="A70" s="1176"/>
      <c r="B70" s="1177"/>
      <c r="C70" s="355"/>
      <c r="D70" s="1188"/>
      <c r="E70" s="1172" t="s">
        <v>1477</v>
      </c>
      <c r="F70" s="1278"/>
      <c r="O70" s="1896" t="s">
        <v>1049</v>
      </c>
      <c r="P70" s="1936" t="s">
        <v>1585</v>
      </c>
      <c r="Q70" s="1888">
        <f ca="1">C13</f>
        <v>2286</v>
      </c>
      <c r="R70" s="1888" t="s">
        <v>1529</v>
      </c>
    </row>
    <row r="71" spans="1:18" s="1844" customFormat="1" ht="13.8" thickBot="1">
      <c r="A71" s="1193" t="s">
        <v>1033</v>
      </c>
      <c r="B71" s="1194" t="s">
        <v>1487</v>
      </c>
      <c r="C71" s="382">
        <f ca="1">ROUND(C68*10000/F71,0)</f>
        <v>-5672</v>
      </c>
      <c r="D71" s="1195" t="s">
        <v>1488</v>
      </c>
      <c r="E71" s="1196" t="s">
        <v>1489</v>
      </c>
      <c r="F71" s="385">
        <f ca="1">F43</f>
        <v>7727.4000000000005</v>
      </c>
      <c r="O71" s="1896" t="s">
        <v>1050</v>
      </c>
      <c r="P71" s="1936" t="s">
        <v>1586</v>
      </c>
      <c r="Q71" s="1899">
        <f ca="1">C76</f>
        <v>8.5000000000000006E-2</v>
      </c>
      <c r="R71" s="1888"/>
    </row>
    <row r="72" spans="1:18" s="1844" customFormat="1" ht="13.8" thickBot="1">
      <c r="B72" s="796"/>
      <c r="C72" s="796"/>
      <c r="O72" s="1896" t="s">
        <v>1044</v>
      </c>
      <c r="P72" s="1887" t="s">
        <v>1564</v>
      </c>
      <c r="Q72" s="1899">
        <f>L52</f>
        <v>0</v>
      </c>
      <c r="R72" s="1888"/>
    </row>
    <row r="73" spans="1:18" ht="16.2" thickBot="1">
      <c r="A73" s="1844"/>
      <c r="B73" s="796"/>
      <c r="C73" s="796"/>
      <c r="D73" s="1844"/>
      <c r="E73" s="1844"/>
      <c r="F73" s="1844"/>
      <c r="O73" s="1896" t="s">
        <v>1045</v>
      </c>
      <c r="P73" s="1887" t="s">
        <v>1567</v>
      </c>
      <c r="Q73" s="1888" t="e">
        <f ca="1">L58</f>
        <v>#DIV/0!</v>
      </c>
      <c r="R73" s="1888" t="s">
        <v>1568</v>
      </c>
    </row>
    <row r="74" spans="1:18" ht="13.8"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8" thickBot="1">
      <c r="A75" s="1844"/>
      <c r="B75" s="386" t="s">
        <v>1506</v>
      </c>
      <c r="C75" s="387">
        <f ca="1">ROUND(C13*C76,0)</f>
        <v>194</v>
      </c>
      <c r="D75" s="1844"/>
      <c r="E75" s="1844"/>
      <c r="F75" s="1844"/>
      <c r="K75" s="1870"/>
      <c r="L75" s="1844"/>
      <c r="O75" s="1886" t="s">
        <v>1046</v>
      </c>
      <c r="P75" s="1887" t="s">
        <v>1549</v>
      </c>
      <c r="Q75" s="1888">
        <f ca="1">Q65+Q66</f>
        <v>13418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0.72799999999999998</v>
      </c>
    </row>
    <row r="80" spans="1:18">
      <c r="B80" s="386" t="s">
        <v>1511</v>
      </c>
      <c r="C80" s="318">
        <f ca="1">ROUND(C75/C39,3)</f>
        <v>0.27200000000000002</v>
      </c>
    </row>
    <row r="81" spans="2:3">
      <c r="B81" s="314" t="s">
        <v>1512</v>
      </c>
      <c r="C81" s="282"/>
    </row>
    <row r="82" spans="2:3">
      <c r="B82" s="317" t="s">
        <v>1513</v>
      </c>
      <c r="C82" s="319">
        <f ca="1">1-C83</f>
        <v>0.83</v>
      </c>
    </row>
    <row r="83" spans="2:3">
      <c r="B83" s="317" t="s">
        <v>1514</v>
      </c>
      <c r="C83" s="318">
        <f ca="1">ROUND(C13/C40,3)</f>
        <v>0.17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36" t="s">
        <v>1403</v>
      </c>
      <c r="C6" s="1299">
        <f ca="1">ROUND(F6*F8*F7*(1-F9),0)</f>
        <v>0</v>
      </c>
      <c r="D6" s="164" t="s">
        <v>3029</v>
      </c>
      <c r="E6" s="347" t="s">
        <v>1405</v>
      </c>
      <c r="F6" s="348">
        <f ca="1">INDIRECT("'数据-取费表'!u"&amp;$G$1)</f>
        <v>0</v>
      </c>
      <c r="G6" s="1853"/>
      <c r="H6" s="1294" t="s">
        <v>1035</v>
      </c>
      <c r="I6" s="3136" t="s">
        <v>1403</v>
      </c>
      <c r="J6" s="346">
        <f ca="1">ROUND(M6*M8*M7*(1-M9),0)</f>
        <v>0</v>
      </c>
      <c r="K6" s="1836" t="s">
        <v>3030</v>
      </c>
      <c r="L6" s="347" t="s">
        <v>1405</v>
      </c>
      <c r="M6" s="348">
        <f ca="1">INDIRECT("'数据-取费表'!z"&amp;$G$1)</f>
        <v>0</v>
      </c>
    </row>
    <row r="7" spans="1:37" ht="18" customHeight="1">
      <c r="A7" s="1298"/>
      <c r="B7" s="3137"/>
      <c r="C7" s="1300"/>
      <c r="D7" s="352"/>
      <c r="E7" s="1301" t="s">
        <v>1406</v>
      </c>
      <c r="F7" s="348">
        <f ca="1">IF(INDIRECT("'数据-取费表'!ah"&amp;$G$1)="",INDIRECT("'数据-取费表'!k"&amp;$G$1),INDIRECT("'数据-取费表'!ah"&amp;$G$1))</f>
        <v>0</v>
      </c>
      <c r="G7" s="1853"/>
      <c r="H7" s="349"/>
      <c r="I7" s="3137"/>
      <c r="J7" s="351"/>
      <c r="K7" s="352"/>
      <c r="L7" s="347" t="s">
        <v>1406</v>
      </c>
      <c r="M7" s="348">
        <f ca="1">F7</f>
        <v>0</v>
      </c>
    </row>
    <row r="8" spans="1:37" ht="18" customHeight="1">
      <c r="A8" s="349"/>
      <c r="B8" s="3137"/>
      <c r="C8" s="351"/>
      <c r="D8" s="352"/>
      <c r="E8" s="347" t="s">
        <v>1407</v>
      </c>
      <c r="F8" s="348">
        <f ca="1">INDIRECT("'数据-取费表'!ai"&amp;$G$1)</f>
        <v>0</v>
      </c>
      <c r="G8" s="1853"/>
      <c r="H8" s="349"/>
      <c r="I8" s="3137"/>
      <c r="J8" s="351"/>
      <c r="K8" s="352"/>
      <c r="L8" s="347" t="s">
        <v>1407</v>
      </c>
      <c r="M8" s="348">
        <f ca="1">INDIRECT("'数据-取费表'!ai"&amp;$G$1)</f>
        <v>0</v>
      </c>
    </row>
    <row r="9" spans="1:37" ht="18" customHeight="1">
      <c r="A9" s="349"/>
      <c r="B9" s="3138"/>
      <c r="C9" s="351"/>
      <c r="D9" s="352"/>
      <c r="E9" s="347" t="s">
        <v>1408</v>
      </c>
      <c r="F9" s="357">
        <f ca="1">INDIRECT("'数据-取费表'!w"&amp;$G$1)</f>
        <v>0</v>
      </c>
      <c r="G9" s="1853"/>
      <c r="H9" s="349"/>
      <c r="I9" s="313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3040</v>
      </c>
      <c r="E10" s="358" t="s">
        <v>1410</v>
      </c>
      <c r="F10" s="1369"/>
      <c r="G10" s="1853"/>
      <c r="H10" s="1294" t="s">
        <v>1039</v>
      </c>
      <c r="I10" s="1825" t="s">
        <v>1409</v>
      </c>
      <c r="J10" s="346">
        <f ca="1">ROUND(IF(M10="押一",J6/12*M11,IF(M10="押二",J6/12*2*M11,IF(M10="押三",J6/12*3*M11,J11*M11))),0)</f>
        <v>0</v>
      </c>
      <c r="K10" s="1837" t="s">
        <v>3042</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150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24</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24</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8"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8"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40.200000000000003"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8"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8"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8"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8"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3043</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134" t="s">
        <v>1548</v>
      </c>
      <c r="L53" s="3135"/>
      <c r="O53" s="1886" t="s">
        <v>1046</v>
      </c>
      <c r="P53" s="1887" t="s">
        <v>1549</v>
      </c>
      <c r="Q53" s="1888" t="e">
        <f ca="1">Q47+Q48</f>
        <v>#DIV/0!</v>
      </c>
      <c r="R53" s="1888" t="s">
        <v>1047</v>
      </c>
    </row>
    <row r="54" spans="1:18" s="1844" customFormat="1" ht="13.8"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8"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6"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6"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6"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2"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8"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8" thickBot="1">
      <c r="A62" s="1204" t="s">
        <v>1495</v>
      </c>
      <c r="B62" s="1171" t="s">
        <v>1496</v>
      </c>
      <c r="C62" s="25">
        <f ca="1">IF(项目基本情况!B11="自然人","——",ROUND(F62*F63,0))</f>
        <v>0</v>
      </c>
      <c r="D62" s="1187" t="s">
        <v>1497</v>
      </c>
      <c r="E62" s="1172" t="s">
        <v>1498</v>
      </c>
      <c r="F62" s="371">
        <f t="shared" si="0"/>
        <v>24</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8"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8"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8"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2"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24.6"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2"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8" thickBot="1">
      <c r="A69" s="1173"/>
      <c r="B69" s="1174"/>
      <c r="C69" s="351"/>
      <c r="D69" s="1192" t="s">
        <v>1473</v>
      </c>
      <c r="E69" s="1172" t="s">
        <v>1474</v>
      </c>
      <c r="F69" s="379">
        <f ca="1">F41</f>
        <v>0</v>
      </c>
      <c r="O69" s="1896" t="s">
        <v>1048</v>
      </c>
      <c r="P69" s="1936" t="s">
        <v>1584</v>
      </c>
      <c r="Q69" s="1888">
        <f ca="1">C39</f>
        <v>0</v>
      </c>
      <c r="R69" s="1888" t="s">
        <v>1529</v>
      </c>
    </row>
    <row r="70" spans="1:18" s="1844" customFormat="1" ht="13.8" thickBot="1">
      <c r="A70" s="1176"/>
      <c r="B70" s="1177"/>
      <c r="C70" s="355"/>
      <c r="D70" s="1188"/>
      <c r="E70" s="1172" t="s">
        <v>1477</v>
      </c>
      <c r="F70" s="1278">
        <f ca="1">F42</f>
        <v>0</v>
      </c>
      <c r="O70" s="1896" t="s">
        <v>1049</v>
      </c>
      <c r="P70" s="1936" t="s">
        <v>1585</v>
      </c>
      <c r="Q70" s="1888">
        <f ca="1">C13</f>
        <v>0</v>
      </c>
      <c r="R70" s="1888" t="s">
        <v>1529</v>
      </c>
    </row>
    <row r="71" spans="1:18" s="1844" customFormat="1" ht="13.8"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8" thickBot="1">
      <c r="B72" s="796"/>
      <c r="C72" s="796"/>
      <c r="O72" s="1896" t="s">
        <v>1044</v>
      </c>
      <c r="P72" s="1887" t="s">
        <v>1564</v>
      </c>
      <c r="Q72" s="1899">
        <f>L52</f>
        <v>0</v>
      </c>
      <c r="R72" s="1888"/>
    </row>
    <row r="73" spans="1:18" ht="16.2" thickBot="1">
      <c r="A73" s="1844"/>
      <c r="B73" s="796"/>
      <c r="C73" s="796"/>
      <c r="D73" s="1844"/>
      <c r="E73" s="1844"/>
      <c r="F73" s="1844"/>
      <c r="O73" s="1896" t="s">
        <v>1045</v>
      </c>
      <c r="P73" s="1887" t="s">
        <v>1567</v>
      </c>
      <c r="Q73" s="1888" t="e">
        <f ca="1">L58</f>
        <v>#DIV/0!</v>
      </c>
      <c r="R73" s="1888" t="s">
        <v>1568</v>
      </c>
    </row>
    <row r="74" spans="1:18" ht="13.8"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8"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5" t="s">
        <v>2527</v>
      </c>
      <c r="B1" s="2566"/>
      <c r="C1" s="2566"/>
      <c r="D1" s="2566"/>
      <c r="E1" s="2567"/>
    </row>
    <row r="2" spans="1:6" ht="15.6">
      <c r="A2" s="2568" t="s">
        <v>2328</v>
      </c>
      <c r="B2" s="2569">
        <f ca="1">SUMIF(B6:B13,"&lt;&gt;#ref!",B6:B13)</f>
        <v>13418</v>
      </c>
      <c r="C2" s="2570" t="s">
        <v>2520</v>
      </c>
      <c r="D2" s="2571" t="s">
        <v>2521</v>
      </c>
      <c r="E2" s="2572">
        <f>SUM(E6:E13)</f>
        <v>7727.4000000000005</v>
      </c>
    </row>
    <row r="3" spans="1:6" ht="15.6">
      <c r="A3" s="2568" t="s">
        <v>1395</v>
      </c>
      <c r="B3" s="2569">
        <f ca="1">ROUND(B2*10000/E2,0)</f>
        <v>17364</v>
      </c>
      <c r="C3" s="2570" t="s">
        <v>2528</v>
      </c>
      <c r="D3" s="2573"/>
      <c r="E3" s="2574"/>
    </row>
    <row r="4" spans="1:6" ht="15.6">
      <c r="A4" s="2575"/>
      <c r="B4" s="2573"/>
      <c r="C4" s="2573"/>
      <c r="D4" s="2573"/>
      <c r="E4" s="2574"/>
    </row>
    <row r="5" spans="1:6" ht="14.4">
      <c r="A5" s="2576" t="s">
        <v>2522</v>
      </c>
      <c r="B5" s="3139" t="s">
        <v>2523</v>
      </c>
      <c r="C5" s="3139"/>
      <c r="D5" s="2577"/>
      <c r="E5" s="2578" t="s">
        <v>2524</v>
      </c>
      <c r="F5" s="2579" t="s">
        <v>2525</v>
      </c>
    </row>
    <row r="6" spans="1:6" ht="14.4">
      <c r="A6" s="2580" t="str">
        <f>'数据-取费表'!AN6</f>
        <v>收益法</v>
      </c>
      <c r="B6" s="2579">
        <f ca="1">IF(F6="是",'数据-取费表'!AO6,0)</f>
        <v>13418</v>
      </c>
      <c r="C6" s="2570" t="s">
        <v>2520</v>
      </c>
      <c r="D6" s="2573"/>
      <c r="E6" s="2581">
        <f>IF(OR(A6=0,F6="否"),0,'数据-取费表'!K6+'数据-取费表'!S6)</f>
        <v>7727.4000000000005</v>
      </c>
      <c r="F6" s="2582" t="s">
        <v>2526</v>
      </c>
    </row>
    <row r="7" spans="1:6" ht="14.4">
      <c r="A7" s="2580">
        <f>'数据-取费表'!AN7</f>
        <v>0</v>
      </c>
      <c r="B7" s="2579" t="e">
        <f ca="1">IF(F7="是",'数据-取费表'!AO7,0)</f>
        <v>#REF!</v>
      </c>
      <c r="C7" s="2570" t="s">
        <v>2520</v>
      </c>
      <c r="D7" s="2573"/>
      <c r="E7" s="2581">
        <f>IF(OR(A7=0,F7="否"),0,'数据-取费表'!K7+'数据-取费表'!S7)</f>
        <v>0</v>
      </c>
      <c r="F7" s="2582" t="s">
        <v>2526</v>
      </c>
    </row>
    <row r="8" spans="1:6" ht="14.4">
      <c r="A8" s="2580">
        <f>'数据-取费表'!AN8</f>
        <v>0</v>
      </c>
      <c r="B8" s="2579" t="e">
        <f ca="1">IF(F8="是",'数据-取费表'!AO8,0)</f>
        <v>#REF!</v>
      </c>
      <c r="C8" s="2570" t="s">
        <v>2520</v>
      </c>
      <c r="D8" s="2573"/>
      <c r="E8" s="2581">
        <f>IF(OR(A8=0,F8="否"),0,'数据-取费表'!K8+'数据-取费表'!S8)</f>
        <v>0</v>
      </c>
      <c r="F8" s="2582" t="s">
        <v>2526</v>
      </c>
    </row>
    <row r="9" spans="1:6" ht="14.4">
      <c r="A9" s="2580">
        <f>'数据-取费表'!AN9</f>
        <v>0</v>
      </c>
      <c r="B9" s="2579" t="e">
        <f ca="1">IF(F9="是",'数据-取费表'!AO9,0)</f>
        <v>#REF!</v>
      </c>
      <c r="C9" s="2570" t="s">
        <v>2520</v>
      </c>
      <c r="D9" s="2573"/>
      <c r="E9" s="2581">
        <f>IF(OR(A9=0,F9="否"),0,'数据-取费表'!K9+'数据-取费表'!S9)</f>
        <v>0</v>
      </c>
      <c r="F9" s="2582" t="s">
        <v>2526</v>
      </c>
    </row>
    <row r="10" spans="1:6" ht="14.4">
      <c r="A10" s="2580">
        <f>'数据-取费表'!AN10</f>
        <v>0</v>
      </c>
      <c r="B10" s="2579" t="e">
        <f ca="1">IF(F10="是",'数据-取费表'!AO10,0)</f>
        <v>#REF!</v>
      </c>
      <c r="C10" s="2570" t="s">
        <v>2520</v>
      </c>
      <c r="D10" s="2573"/>
      <c r="E10" s="2581">
        <f>IF(OR(A10=0,F10="否"),0,'数据-取费表'!K10+'数据-取费表'!S10)</f>
        <v>0</v>
      </c>
      <c r="F10" s="2582" t="s">
        <v>2526</v>
      </c>
    </row>
    <row r="11" spans="1:6" ht="14.4">
      <c r="A11" s="2580">
        <f>'数据-取费表'!AN11</f>
        <v>0</v>
      </c>
      <c r="B11" s="2579" t="e">
        <f ca="1">IF(F11="是",'数据-取费表'!AO11,0)</f>
        <v>#REF!</v>
      </c>
      <c r="C11" s="2570" t="s">
        <v>2520</v>
      </c>
      <c r="D11" s="2573"/>
      <c r="E11" s="2581">
        <f>IF(OR(A11=0,F11="否"),0,'数据-取费表'!K11+'数据-取费表'!S11)</f>
        <v>0</v>
      </c>
      <c r="F11" s="2582" t="s">
        <v>2526</v>
      </c>
    </row>
    <row r="12" spans="1:6" ht="14.4">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40" t="s">
        <v>1076</v>
      </c>
      <c r="B1" s="3141"/>
      <c r="C1" s="3142"/>
      <c r="D1" s="3143">
        <f>SUM(I10,I15,I20,I21,I23)</f>
        <v>0</v>
      </c>
      <c r="E1" s="3143"/>
      <c r="F1" s="3143"/>
      <c r="G1" s="3143"/>
      <c r="H1" s="3143"/>
      <c r="I1" s="3144"/>
    </row>
    <row r="2" spans="1:9">
      <c r="A2" s="3145" t="s">
        <v>1077</v>
      </c>
      <c r="B2" s="3146" t="s">
        <v>1078</v>
      </c>
      <c r="C2" s="3146"/>
      <c r="D2" s="1304" t="s">
        <v>1079</v>
      </c>
      <c r="E2" s="1304" t="s">
        <v>1080</v>
      </c>
      <c r="F2" s="1304" t="s">
        <v>1081</v>
      </c>
      <c r="G2" s="1304" t="s">
        <v>1082</v>
      </c>
      <c r="H2" s="1304" t="s">
        <v>1083</v>
      </c>
      <c r="I2" s="1305" t="s">
        <v>1084</v>
      </c>
    </row>
    <row r="3" spans="1:9">
      <c r="A3" s="3145"/>
      <c r="B3" s="3146" t="s">
        <v>1085</v>
      </c>
      <c r="C3" s="3146"/>
      <c r="D3" s="1306"/>
      <c r="E3" s="1304"/>
      <c r="F3" s="1307"/>
      <c r="G3" s="1307"/>
      <c r="H3" s="1308"/>
      <c r="I3" s="1309">
        <f>ROUND(D3*E3*F3*G3*H3/10000,0)</f>
        <v>0</v>
      </c>
    </row>
    <row r="4" spans="1:9">
      <c r="A4" s="3145"/>
      <c r="B4" s="3146" t="s">
        <v>1086</v>
      </c>
      <c r="C4" s="3146"/>
      <c r="D4" s="1306"/>
      <c r="E4" s="1304"/>
      <c r="F4" s="1307"/>
      <c r="G4" s="1307"/>
      <c r="H4" s="1308"/>
      <c r="I4" s="1309">
        <f t="shared" ref="I4:I9" si="0">ROUND(D4*E4*F4*G4*H4/10000,0)</f>
        <v>0</v>
      </c>
    </row>
    <row r="5" spans="1:9">
      <c r="A5" s="3145"/>
      <c r="B5" s="3146" t="s">
        <v>1087</v>
      </c>
      <c r="C5" s="3146"/>
      <c r="D5" s="1306"/>
      <c r="E5" s="1304"/>
      <c r="F5" s="1307"/>
      <c r="G5" s="1307"/>
      <c r="H5" s="1308"/>
      <c r="I5" s="1309">
        <f t="shared" si="0"/>
        <v>0</v>
      </c>
    </row>
    <row r="6" spans="1:9">
      <c r="A6" s="3145"/>
      <c r="B6" s="3146" t="s">
        <v>1088</v>
      </c>
      <c r="C6" s="3146"/>
      <c r="D6" s="1306"/>
      <c r="E6" s="1304"/>
      <c r="F6" s="1307"/>
      <c r="G6" s="1307"/>
      <c r="H6" s="1308"/>
      <c r="I6" s="1309">
        <f t="shared" si="0"/>
        <v>0</v>
      </c>
    </row>
    <row r="7" spans="1:9">
      <c r="A7" s="3145"/>
      <c r="B7" s="3146" t="s">
        <v>1089</v>
      </c>
      <c r="C7" s="3146"/>
      <c r="D7" s="1306"/>
      <c r="E7" s="1304"/>
      <c r="F7" s="1307"/>
      <c r="G7" s="1307"/>
      <c r="H7" s="1308"/>
      <c r="I7" s="1309">
        <f t="shared" si="0"/>
        <v>0</v>
      </c>
    </row>
    <row r="8" spans="1:9">
      <c r="A8" s="3145"/>
      <c r="B8" s="3146" t="s">
        <v>1090</v>
      </c>
      <c r="C8" s="3146"/>
      <c r="D8" s="1306"/>
      <c r="E8" s="1304"/>
      <c r="F8" s="1307"/>
      <c r="G8" s="1307"/>
      <c r="H8" s="1308"/>
      <c r="I8" s="1309">
        <f t="shared" si="0"/>
        <v>0</v>
      </c>
    </row>
    <row r="9" spans="1:9">
      <c r="A9" s="3145"/>
      <c r="B9" s="3146" t="s">
        <v>1091</v>
      </c>
      <c r="C9" s="3146"/>
      <c r="D9" s="1306"/>
      <c r="E9" s="1304"/>
      <c r="F9" s="1307"/>
      <c r="G9" s="1307"/>
      <c r="H9" s="1308"/>
      <c r="I9" s="1309">
        <f t="shared" si="0"/>
        <v>0</v>
      </c>
    </row>
    <row r="10" spans="1:9">
      <c r="A10" s="3145"/>
      <c r="B10" s="3147" t="s">
        <v>1092</v>
      </c>
      <c r="C10" s="3147"/>
      <c r="D10" s="1310"/>
      <c r="E10" s="1310" t="e">
        <f>ROUND(D1*10000/D10/H9,0)</f>
        <v>#DIV/0!</v>
      </c>
      <c r="F10" s="1311"/>
      <c r="G10" s="1311"/>
      <c r="H10" s="1312"/>
      <c r="I10" s="1313">
        <f>SUM(I3:I9)</f>
        <v>0</v>
      </c>
    </row>
    <row r="11" spans="1:9" ht="15.6">
      <c r="A11" s="3145" t="s">
        <v>1093</v>
      </c>
      <c r="B11" s="3146" t="s">
        <v>1094</v>
      </c>
      <c r="C11" s="3146"/>
      <c r="D11" s="1306" t="s">
        <v>1095</v>
      </c>
      <c r="E11" s="1306" t="s">
        <v>1096</v>
      </c>
      <c r="F11" s="1307" t="s">
        <v>1097</v>
      </c>
      <c r="G11" s="1307" t="s">
        <v>1083</v>
      </c>
      <c r="H11" s="1314" t="s">
        <v>1098</v>
      </c>
      <c r="I11" s="1305" t="s">
        <v>1084</v>
      </c>
    </row>
    <row r="12" spans="1:9">
      <c r="A12" s="3145"/>
      <c r="B12" s="3146" t="s">
        <v>1099</v>
      </c>
      <c r="C12" s="3146"/>
      <c r="D12" s="1306"/>
      <c r="E12" s="1306"/>
      <c r="F12" s="1307"/>
      <c r="G12" s="1308"/>
      <c r="H12" s="1315"/>
      <c r="I12" s="1305">
        <f>ROUND(D12*E12*F12*G12/10000,0)</f>
        <v>0</v>
      </c>
    </row>
    <row r="13" spans="1:9">
      <c r="A13" s="3145"/>
      <c r="B13" s="3146" t="s">
        <v>1100</v>
      </c>
      <c r="C13" s="3146"/>
      <c r="D13" s="1306"/>
      <c r="E13" s="1306"/>
      <c r="F13" s="1307"/>
      <c r="G13" s="1308"/>
      <c r="H13" s="1315"/>
      <c r="I13" s="1305">
        <f>ROUND(D13*E13*F13*G13/10000,0)</f>
        <v>0</v>
      </c>
    </row>
    <row r="14" spans="1:9">
      <c r="A14" s="3145"/>
      <c r="B14" s="3146" t="s">
        <v>1101</v>
      </c>
      <c r="C14" s="3146"/>
      <c r="D14" s="1306"/>
      <c r="E14" s="1306"/>
      <c r="F14" s="1307"/>
      <c r="G14" s="1308"/>
      <c r="H14" s="1315"/>
      <c r="I14" s="1305">
        <f>ROUND(D14*E14*F14*G14/10000,0)</f>
        <v>0</v>
      </c>
    </row>
    <row r="15" spans="1:9">
      <c r="A15" s="3145"/>
      <c r="B15" s="3147" t="s">
        <v>1092</v>
      </c>
      <c r="C15" s="3147"/>
      <c r="D15" s="1310"/>
      <c r="E15" s="1310">
        <f>SUM(E12:E14)</f>
        <v>0</v>
      </c>
      <c r="F15" s="1311"/>
      <c r="G15" s="1308"/>
      <c r="H15" s="1315"/>
      <c r="I15" s="1316">
        <f>SUM(I12:I14)</f>
        <v>0</v>
      </c>
    </row>
    <row r="16" spans="1:9" ht="24">
      <c r="A16" s="3145" t="s">
        <v>1102</v>
      </c>
      <c r="B16" s="3146" t="s">
        <v>1103</v>
      </c>
      <c r="C16" s="3146"/>
      <c r="D16" s="1306" t="s">
        <v>1079</v>
      </c>
      <c r="E16" s="1317" t="s">
        <v>1104</v>
      </c>
      <c r="F16" s="1307" t="s">
        <v>1105</v>
      </c>
      <c r="G16" s="1308" t="s">
        <v>1083</v>
      </c>
      <c r="H16" s="1314" t="s">
        <v>1098</v>
      </c>
      <c r="I16" s="1305" t="s">
        <v>1084</v>
      </c>
    </row>
    <row r="17" spans="1:9" ht="15.6">
      <c r="A17" s="3145"/>
      <c r="B17" s="3146" t="s">
        <v>1106</v>
      </c>
      <c r="C17" s="3146"/>
      <c r="D17" s="1306"/>
      <c r="E17" s="1306"/>
      <c r="F17" s="1307"/>
      <c r="G17" s="1308"/>
      <c r="H17" s="1318"/>
      <c r="I17" s="1319">
        <f>ROUND(D17*E17*F17*G17/10000,0)</f>
        <v>0</v>
      </c>
    </row>
    <row r="18" spans="1:9" ht="15.6">
      <c r="A18" s="3145"/>
      <c r="B18" s="3146" t="s">
        <v>1107</v>
      </c>
      <c r="C18" s="3146"/>
      <c r="D18" s="1306"/>
      <c r="E18" s="1306"/>
      <c r="F18" s="1307"/>
      <c r="G18" s="1308"/>
      <c r="H18" s="1318"/>
      <c r="I18" s="1319">
        <f>ROUND(D18*E18*F18*G18/10000,0)</f>
        <v>0</v>
      </c>
    </row>
    <row r="19" spans="1:9" ht="15.6">
      <c r="A19" s="3145"/>
      <c r="B19" s="3146" t="s">
        <v>1108</v>
      </c>
      <c r="C19" s="3146"/>
      <c r="D19" s="1306"/>
      <c r="E19" s="1306"/>
      <c r="F19" s="1307"/>
      <c r="G19" s="1308"/>
      <c r="H19" s="1318"/>
      <c r="I19" s="1319">
        <f>ROUND(D19*E19*F19*G19/10000,0)</f>
        <v>0</v>
      </c>
    </row>
    <row r="20" spans="1:9">
      <c r="A20" s="3145"/>
      <c r="B20" s="3147" t="s">
        <v>1092</v>
      </c>
      <c r="C20" s="3147"/>
      <c r="D20" s="1310">
        <f>SUM(D17:D19)</f>
        <v>0</v>
      </c>
      <c r="E20" s="1310"/>
      <c r="F20" s="1311"/>
      <c r="G20" s="1308"/>
      <c r="H20" s="1315"/>
      <c r="I20" s="1316">
        <f>SUM(I17:I19)</f>
        <v>0</v>
      </c>
    </row>
    <row r="21" spans="1:9">
      <c r="A21" s="3145" t="s">
        <v>1109</v>
      </c>
      <c r="B21" s="3149"/>
      <c r="C21" s="3149"/>
      <c r="D21" s="3149"/>
      <c r="E21" s="3149"/>
      <c r="F21" s="3149"/>
      <c r="G21" s="3149"/>
      <c r="H21" s="1767">
        <v>0.1</v>
      </c>
      <c r="I21" s="1313">
        <f>ROUND(I10*H21,0)</f>
        <v>0</v>
      </c>
    </row>
    <row r="22" spans="1:9" ht="15.6">
      <c r="A22" s="3150" t="s">
        <v>1110</v>
      </c>
      <c r="B22" s="3151"/>
      <c r="C22" s="3152"/>
      <c r="D22" s="1320" t="s">
        <v>1111</v>
      </c>
      <c r="E22" s="1320" t="s">
        <v>1112</v>
      </c>
      <c r="F22" s="1321" t="s">
        <v>1113</v>
      </c>
      <c r="G22" s="1321" t="s">
        <v>1114</v>
      </c>
      <c r="H22" s="1314" t="s">
        <v>1115</v>
      </c>
      <c r="I22" s="1305" t="s">
        <v>1116</v>
      </c>
    </row>
    <row r="23" spans="1:9" ht="15" thickBot="1">
      <c r="A23" s="3153"/>
      <c r="B23" s="3154"/>
      <c r="C23" s="3155"/>
      <c r="D23" s="1322"/>
      <c r="E23" s="1322"/>
      <c r="F23" s="1322"/>
      <c r="G23" s="1323"/>
      <c r="H23" s="1324"/>
      <c r="I23" s="1325">
        <f>ROUND(E23*D23*F23*(1-G23)/10000,0)</f>
        <v>0</v>
      </c>
    </row>
    <row r="26" spans="1:9">
      <c r="A26" s="1326" t="s">
        <v>1117</v>
      </c>
      <c r="B26" s="1326"/>
      <c r="C26" s="1326"/>
      <c r="D26" s="1326"/>
      <c r="E26" s="3156">
        <f>C27-C30-C31-C32</f>
        <v>0</v>
      </c>
      <c r="F26" s="3156"/>
      <c r="G26" s="3156"/>
      <c r="H26" s="1739" t="s">
        <v>1340</v>
      </c>
    </row>
    <row r="27" spans="1:9">
      <c r="A27" s="1327">
        <v>1</v>
      </c>
      <c r="B27" s="1328" t="s">
        <v>1118</v>
      </c>
      <c r="C27" s="1328">
        <f>C28+C29</f>
        <v>0</v>
      </c>
      <c r="D27" s="1328"/>
      <c r="E27" s="3157"/>
      <c r="F27" s="3157"/>
      <c r="G27" s="3157"/>
    </row>
    <row r="28" spans="1:9">
      <c r="A28" s="1329" t="s">
        <v>1119</v>
      </c>
      <c r="B28" s="1328" t="s">
        <v>1120</v>
      </c>
      <c r="C28" s="1328"/>
      <c r="D28" s="1328"/>
      <c r="E28" s="3157"/>
      <c r="F28" s="3157"/>
      <c r="G28" s="315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8"/>
      <c r="F32" s="3148"/>
      <c r="G32" s="3148"/>
    </row>
    <row r="33" spans="1:7" hidden="1">
      <c r="A33" s="3158" t="s">
        <v>1129</v>
      </c>
      <c r="B33" s="3159"/>
      <c r="C33" s="3159"/>
      <c r="D33" s="3160"/>
      <c r="E33" s="3156"/>
      <c r="F33" s="3156"/>
      <c r="G33" s="3156"/>
    </row>
    <row r="34" spans="1:7" hidden="1">
      <c r="A34" s="1331">
        <v>1</v>
      </c>
      <c r="B34" s="1328" t="s">
        <v>1130</v>
      </c>
      <c r="C34" s="1328"/>
      <c r="D34" s="1328"/>
      <c r="E34" s="3157"/>
      <c r="F34" s="3157"/>
      <c r="G34" s="3157"/>
    </row>
    <row r="35" spans="1:7" hidden="1">
      <c r="A35" s="1331">
        <v>2</v>
      </c>
      <c r="B35" s="1328" t="s">
        <v>1131</v>
      </c>
      <c r="C35" s="1328"/>
      <c r="D35" s="1328"/>
      <c r="E35" s="3157"/>
      <c r="F35" s="3157"/>
      <c r="G35" s="3157"/>
    </row>
    <row r="36" spans="1:7" hidden="1">
      <c r="A36" s="1331">
        <v>3</v>
      </c>
      <c r="B36" s="1328" t="s">
        <v>1132</v>
      </c>
      <c r="C36" s="1328"/>
      <c r="D36" s="1328"/>
      <c r="E36" s="3157"/>
      <c r="F36" s="3157"/>
      <c r="G36" s="3157"/>
    </row>
    <row r="37" spans="1:7" hidden="1">
      <c r="A37" s="1331">
        <v>4</v>
      </c>
      <c r="B37" s="1328" t="s">
        <v>1133</v>
      </c>
      <c r="C37" s="1328"/>
      <c r="D37" s="1328"/>
      <c r="E37" s="3157"/>
      <c r="F37" s="3157"/>
      <c r="G37" s="3157"/>
    </row>
    <row r="38" spans="1:7" hidden="1">
      <c r="A38" s="3158" t="s">
        <v>1134</v>
      </c>
      <c r="B38" s="3159"/>
      <c r="C38" s="3159"/>
      <c r="D38" s="3160"/>
      <c r="E38" s="3156"/>
      <c r="F38" s="3156"/>
      <c r="G38" s="31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2529</v>
      </c>
      <c r="B1" s="2586" t="s">
        <v>2530</v>
      </c>
      <c r="C1" s="1636" t="s">
        <v>2531</v>
      </c>
      <c r="D1" s="1623"/>
      <c r="E1" s="2587"/>
      <c r="F1" s="2588" t="s">
        <v>2532</v>
      </c>
      <c r="G1" s="1633" t="s">
        <v>2533</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90"/>
      <c r="D2" s="1368" t="e">
        <f ca="1">SUMIF(INDIRECT("'"&amp;F2&amp;"'"&amp;"!A:A"),"承租人权益价值",INDIRECT("'"&amp;F2&amp;"'"&amp;"!c:c"))</f>
        <v>#REF!</v>
      </c>
      <c r="E2" s="2591" t="s">
        <v>2534</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2535</v>
      </c>
      <c r="D3" s="399">
        <f>IF(D1="",'数据-汇总表'!E3,SUMIF('数据-汇总表'!$C19:$C33,D1,'数据-汇总表'!$E19:$E33))</f>
        <v>7727.4000000000015</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4.4">
      <c r="A4" s="401" t="s">
        <v>2536</v>
      </c>
      <c r="B4" s="402"/>
      <c r="C4" s="3179" t="s">
        <v>2537</v>
      </c>
      <c r="D4" s="3180"/>
      <c r="E4" s="3181" t="s">
        <v>2538</v>
      </c>
      <c r="F4" s="3182"/>
      <c r="G4" s="3179" t="s">
        <v>2539</v>
      </c>
      <c r="H4" s="3180"/>
      <c r="I4" s="3179" t="s">
        <v>2540</v>
      </c>
      <c r="J4" s="3180"/>
      <c r="K4" s="2600" t="s">
        <v>2541</v>
      </c>
      <c r="L4" s="1133"/>
      <c r="M4" s="1134"/>
      <c r="N4" s="1134"/>
      <c r="O4" s="1134"/>
      <c r="P4" s="3183" t="s">
        <v>2542</v>
      </c>
      <c r="Q4" s="3184"/>
      <c r="R4" s="3166" t="s">
        <v>2538</v>
      </c>
      <c r="S4" s="3167"/>
      <c r="T4" s="3166" t="s">
        <v>2539</v>
      </c>
      <c r="U4" s="3167"/>
      <c r="V4" s="3191" t="s">
        <v>2540</v>
      </c>
      <c r="W4" s="3191"/>
      <c r="X4" s="1815"/>
      <c r="Y4" s="3166" t="s">
        <v>2542</v>
      </c>
      <c r="Z4" s="3167"/>
      <c r="AA4" s="3161" t="s">
        <v>2538</v>
      </c>
      <c r="AB4" s="3161" t="s">
        <v>2539</v>
      </c>
      <c r="AC4" s="3161" t="s">
        <v>2540</v>
      </c>
    </row>
    <row r="5" spans="1:29">
      <c r="A5" s="404"/>
      <c r="B5" s="405"/>
      <c r="C5" s="3172" t="s">
        <v>2543</v>
      </c>
      <c r="D5" s="3173"/>
      <c r="E5" s="3170" t="s">
        <v>2544</v>
      </c>
      <c r="F5" s="3171"/>
      <c r="G5" s="3172" t="s">
        <v>2545</v>
      </c>
      <c r="H5" s="3173"/>
      <c r="I5" s="3172" t="s">
        <v>2546</v>
      </c>
      <c r="J5" s="3173"/>
      <c r="K5" s="2601"/>
      <c r="L5" s="1133"/>
      <c r="M5" s="1134"/>
      <c r="N5" s="1134"/>
      <c r="O5" s="1134"/>
      <c r="P5" s="3185"/>
      <c r="Q5" s="3186"/>
      <c r="R5" s="3168"/>
      <c r="S5" s="3169"/>
      <c r="T5" s="3168"/>
      <c r="U5" s="3169"/>
      <c r="V5" s="3191"/>
      <c r="W5" s="3191"/>
      <c r="X5" s="1815"/>
      <c r="Y5" s="3168"/>
      <c r="Z5" s="3169"/>
      <c r="AA5" s="3162"/>
      <c r="AB5" s="3162"/>
      <c r="AC5" s="3162"/>
    </row>
    <row r="6" spans="1:29" ht="15" thickBot="1">
      <c r="A6" s="406"/>
      <c r="B6" s="407"/>
      <c r="C6" s="3174" t="s">
        <v>2547</v>
      </c>
      <c r="D6" s="3175"/>
      <c r="E6" s="3176" t="s">
        <v>2547</v>
      </c>
      <c r="F6" s="3177"/>
      <c r="G6" s="3174" t="s">
        <v>2547</v>
      </c>
      <c r="H6" s="3175"/>
      <c r="I6" s="3174" t="s">
        <v>2547</v>
      </c>
      <c r="J6" s="3175"/>
      <c r="K6" s="2601" t="s">
        <v>2548</v>
      </c>
      <c r="L6" s="1133"/>
      <c r="M6" s="1134"/>
      <c r="N6" s="1134"/>
      <c r="O6" s="1134"/>
      <c r="P6" s="3187"/>
      <c r="Q6" s="3188"/>
      <c r="R6" s="3168"/>
      <c r="S6" s="3169"/>
      <c r="T6" s="3189"/>
      <c r="U6" s="3190"/>
      <c r="V6" s="3191"/>
      <c r="W6" s="3191"/>
      <c r="X6" s="1815"/>
      <c r="Y6" s="3189"/>
      <c r="Z6" s="3190"/>
      <c r="AA6" s="3163"/>
      <c r="AB6" s="3163"/>
      <c r="AC6" s="3163"/>
    </row>
    <row r="7" spans="1:29" s="117" customFormat="1" ht="15" thickBot="1">
      <c r="A7" s="408" t="s">
        <v>2549</v>
      </c>
      <c r="B7" s="409"/>
      <c r="C7" s="410">
        <f>'数据-取费表'!B2</f>
        <v>43269</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64" t="s">
        <v>2550</v>
      </c>
      <c r="Q7" s="3192"/>
      <c r="R7" s="770" t="s">
        <v>23</v>
      </c>
      <c r="S7" s="771">
        <f t="shared" ref="S7:S15" si="0">F7</f>
        <v>0</v>
      </c>
      <c r="T7" s="770" t="s">
        <v>23</v>
      </c>
      <c r="U7" s="771">
        <f t="shared" ref="U7:U15" si="1">H7</f>
        <v>0</v>
      </c>
      <c r="V7" s="770" t="s">
        <v>23</v>
      </c>
      <c r="W7" s="771">
        <f t="shared" ref="W7:W15" si="2">J7</f>
        <v>0</v>
      </c>
      <c r="X7" s="772"/>
      <c r="Y7" s="3164" t="s">
        <v>2550</v>
      </c>
      <c r="Z7" s="3165"/>
      <c r="AA7" s="773" t="e">
        <f>D7/F7</f>
        <v>#DIV/0!</v>
      </c>
      <c r="AB7" s="773" t="e">
        <f>D7/H7</f>
        <v>#DIV/0!</v>
      </c>
      <c r="AC7" s="773" t="e">
        <f>D7/J7</f>
        <v>#DIV/0!</v>
      </c>
    </row>
    <row r="8" spans="1:29" s="117" customFormat="1" ht="15" thickBot="1">
      <c r="A8" s="408" t="s">
        <v>2551</v>
      </c>
      <c r="B8" s="409"/>
      <c r="C8" s="414" t="s">
        <v>2552</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64" t="s">
        <v>2553</v>
      </c>
      <c r="Q8" s="3165"/>
      <c r="R8" s="770" t="s">
        <v>23</v>
      </c>
      <c r="S8" s="771">
        <f t="shared" si="0"/>
        <v>0</v>
      </c>
      <c r="T8" s="770" t="s">
        <v>23</v>
      </c>
      <c r="U8" s="771">
        <f t="shared" si="1"/>
        <v>0</v>
      </c>
      <c r="V8" s="770" t="s">
        <v>23</v>
      </c>
      <c r="W8" s="771">
        <f t="shared" si="2"/>
        <v>0</v>
      </c>
      <c r="X8" s="772"/>
      <c r="Y8" s="3164" t="s">
        <v>2553</v>
      </c>
      <c r="Z8" s="3165"/>
      <c r="AA8" s="773" t="e">
        <f t="shared" ref="AA8:AA19" si="3">D8/F8</f>
        <v>#DIV/0!</v>
      </c>
      <c r="AB8" s="773" t="e">
        <f t="shared" ref="AB8:AB19" si="4">D8/H8</f>
        <v>#DIV/0!</v>
      </c>
      <c r="AC8" s="773" t="e">
        <f t="shared" ref="AC8:AC19" si="5">D8/J8</f>
        <v>#DIV/0!</v>
      </c>
    </row>
    <row r="9" spans="1:29" s="117" customFormat="1" ht="14.4">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78" t="s">
        <v>2556</v>
      </c>
      <c r="Q9" s="1797" t="str">
        <f t="shared" ref="Q9:Q15" si="6">B9</f>
        <v>用途</v>
      </c>
      <c r="R9" s="770" t="s">
        <v>17</v>
      </c>
      <c r="S9" s="771">
        <f t="shared" si="0"/>
        <v>100</v>
      </c>
      <c r="T9" s="770" t="s">
        <v>17</v>
      </c>
      <c r="U9" s="771">
        <f t="shared" si="1"/>
        <v>100</v>
      </c>
      <c r="V9" s="770" t="s">
        <v>17</v>
      </c>
      <c r="W9" s="771">
        <f t="shared" si="2"/>
        <v>100</v>
      </c>
      <c r="X9" s="772"/>
      <c r="Y9" s="3011"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8"/>
      <c r="Q10" s="179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8"/>
      <c r="Q11" s="1797" t="str">
        <f t="shared" si="6"/>
        <v>容积率</v>
      </c>
      <c r="R11" s="770" t="s">
        <v>21</v>
      </c>
      <c r="S11" s="771" t="e">
        <f t="shared" si="0"/>
        <v>#N/A</v>
      </c>
      <c r="T11" s="770" t="s">
        <v>21</v>
      </c>
      <c r="U11" s="771" t="e">
        <f t="shared" si="1"/>
        <v>#N/A</v>
      </c>
      <c r="V11" s="770" t="s">
        <v>21</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78"/>
      <c r="Q12" s="1797">
        <f t="shared" si="6"/>
        <v>111</v>
      </c>
      <c r="R12" s="770" t="s">
        <v>21</v>
      </c>
      <c r="S12" s="771">
        <f t="shared" si="0"/>
        <v>100</v>
      </c>
      <c r="T12" s="770" t="s">
        <v>21</v>
      </c>
      <c r="U12" s="771">
        <f t="shared" si="1"/>
        <v>100</v>
      </c>
      <c r="V12" s="770" t="s">
        <v>21</v>
      </c>
      <c r="W12" s="771">
        <f t="shared" si="2"/>
        <v>100</v>
      </c>
      <c r="X12" s="772"/>
      <c r="Y12" s="301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78"/>
      <c r="Q13" s="1797">
        <f t="shared" si="6"/>
        <v>111</v>
      </c>
      <c r="R13" s="770" t="s">
        <v>21</v>
      </c>
      <c r="S13" s="771">
        <f t="shared" si="0"/>
        <v>100</v>
      </c>
      <c r="T13" s="770" t="s">
        <v>21</v>
      </c>
      <c r="U13" s="771">
        <f t="shared" si="1"/>
        <v>100</v>
      </c>
      <c r="V13" s="770" t="s">
        <v>21</v>
      </c>
      <c r="W13" s="771">
        <f t="shared" si="2"/>
        <v>100</v>
      </c>
      <c r="X13" s="772"/>
      <c r="Y13" s="3011"/>
      <c r="Z13" s="55">
        <f t="shared" si="7"/>
        <v>111</v>
      </c>
      <c r="AA13" s="773">
        <f t="shared" si="3"/>
        <v>1</v>
      </c>
      <c r="AB13" s="773">
        <f t="shared" si="4"/>
        <v>1</v>
      </c>
      <c r="AC13" s="773">
        <f t="shared" si="5"/>
        <v>1</v>
      </c>
    </row>
    <row r="14" spans="1:29" ht="15.6"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78"/>
      <c r="Q14" s="1797">
        <f t="shared" si="6"/>
        <v>111</v>
      </c>
      <c r="R14" s="770" t="s">
        <v>21</v>
      </c>
      <c r="S14" s="771">
        <f t="shared" si="0"/>
        <v>100</v>
      </c>
      <c r="T14" s="770" t="s">
        <v>21</v>
      </c>
      <c r="U14" s="771">
        <f t="shared" si="1"/>
        <v>100</v>
      </c>
      <c r="V14" s="770" t="s">
        <v>21</v>
      </c>
      <c r="W14" s="771">
        <f t="shared" si="2"/>
        <v>100</v>
      </c>
      <c r="X14" s="772"/>
      <c r="Y14" s="3011"/>
      <c r="Z14" s="55">
        <f t="shared" si="7"/>
        <v>111</v>
      </c>
      <c r="AA14" s="773">
        <f t="shared" si="3"/>
        <v>1</v>
      </c>
      <c r="AB14" s="773">
        <f t="shared" si="4"/>
        <v>1</v>
      </c>
      <c r="AC14" s="773">
        <f t="shared" si="5"/>
        <v>1</v>
      </c>
    </row>
    <row r="15" spans="1:29" ht="96.6">
      <c r="A15" s="440" t="s">
        <v>2560</v>
      </c>
      <c r="B15" s="69" t="s">
        <v>2087</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5" t="s">
        <v>2561</v>
      </c>
      <c r="Q15" s="1812" t="str">
        <f t="shared" si="6"/>
        <v>居住社区成熟度</v>
      </c>
      <c r="R15" s="774" t="s">
        <v>21</v>
      </c>
      <c r="S15" s="775">
        <f t="shared" si="0"/>
        <v>100</v>
      </c>
      <c r="T15" s="774" t="s">
        <v>21</v>
      </c>
      <c r="U15" s="775">
        <f t="shared" si="1"/>
        <v>100</v>
      </c>
      <c r="V15" s="774" t="s">
        <v>21</v>
      </c>
      <c r="W15" s="775">
        <f t="shared" si="2"/>
        <v>100</v>
      </c>
      <c r="X15" s="1815"/>
      <c r="Y15" s="3198" t="s">
        <v>2561</v>
      </c>
      <c r="Z15" s="1816" t="str">
        <f t="shared" si="7"/>
        <v>居住社区成熟度</v>
      </c>
      <c r="AA15" s="1813">
        <f t="shared" si="3"/>
        <v>1</v>
      </c>
      <c r="AB15" s="1813">
        <f t="shared" si="4"/>
        <v>1</v>
      </c>
      <c r="AC15" s="1813">
        <f t="shared" si="5"/>
        <v>1</v>
      </c>
    </row>
    <row r="16" spans="1:29" ht="15">
      <c r="A16" s="428"/>
      <c r="B16" s="446"/>
      <c r="C16" s="447"/>
      <c r="D16" s="448"/>
      <c r="E16" s="2608"/>
      <c r="F16" s="448"/>
      <c r="G16" s="2609"/>
      <c r="H16" s="450"/>
      <c r="I16" s="2609"/>
      <c r="J16" s="448"/>
      <c r="K16" s="2610"/>
      <c r="L16" s="1143"/>
      <c r="M16" s="1134"/>
      <c r="N16" s="1134"/>
      <c r="O16" s="1134"/>
      <c r="P16" s="3206"/>
      <c r="Q16" s="1812"/>
      <c r="R16" s="774"/>
      <c r="S16" s="775"/>
      <c r="T16" s="774"/>
      <c r="U16" s="775"/>
      <c r="V16" s="774"/>
      <c r="W16" s="775"/>
      <c r="X16" s="1815"/>
      <c r="Y16" s="3199"/>
      <c r="Z16" s="1816"/>
      <c r="AA16" s="1813">
        <v>1</v>
      </c>
      <c r="AB16" s="1813">
        <v>1</v>
      </c>
      <c r="AC16" s="1813">
        <v>1</v>
      </c>
    </row>
    <row r="17" spans="1:29" ht="82.8">
      <c r="A17" s="428"/>
      <c r="B17" s="451" t="s">
        <v>2099</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6"/>
      <c r="Q17" s="1812" t="str">
        <f>B17</f>
        <v>交通便捷度</v>
      </c>
      <c r="R17" s="774" t="s">
        <v>21</v>
      </c>
      <c r="S17" s="775">
        <f>F17</f>
        <v>100</v>
      </c>
      <c r="T17" s="774" t="s">
        <v>21</v>
      </c>
      <c r="U17" s="775">
        <f>H17</f>
        <v>100</v>
      </c>
      <c r="V17" s="774" t="s">
        <v>21</v>
      </c>
      <c r="W17" s="775">
        <f>J17</f>
        <v>100</v>
      </c>
      <c r="X17" s="1815"/>
      <c r="Y17" s="3199"/>
      <c r="Z17" s="1816" t="str">
        <f>Q17</f>
        <v>交通便捷度</v>
      </c>
      <c r="AA17" s="1813">
        <f t="shared" si="3"/>
        <v>1</v>
      </c>
      <c r="AB17" s="1813">
        <f t="shared" si="4"/>
        <v>1</v>
      </c>
      <c r="AC17" s="1813">
        <f t="shared" si="5"/>
        <v>1</v>
      </c>
    </row>
    <row r="18" spans="1:29" ht="15">
      <c r="A18" s="428"/>
      <c r="B18" s="456"/>
      <c r="C18" s="2612"/>
      <c r="D18" s="450"/>
      <c r="E18" s="2613"/>
      <c r="F18" s="450"/>
      <c r="G18" s="2614"/>
      <c r="H18" s="448"/>
      <c r="I18" s="2614"/>
      <c r="J18" s="448"/>
      <c r="K18" s="2610"/>
      <c r="L18" s="1143"/>
      <c r="M18" s="1134"/>
      <c r="N18" s="1134"/>
      <c r="O18" s="1134"/>
      <c r="P18" s="3206"/>
      <c r="Q18" s="1812"/>
      <c r="R18" s="774"/>
      <c r="S18" s="775"/>
      <c r="T18" s="774"/>
      <c r="U18" s="775"/>
      <c r="V18" s="774"/>
      <c r="W18" s="775"/>
      <c r="X18" s="1815"/>
      <c r="Y18" s="3199"/>
      <c r="Z18" s="1816"/>
      <c r="AA18" s="1813">
        <v>1</v>
      </c>
      <c r="AB18" s="1813">
        <v>1</v>
      </c>
      <c r="AC18" s="1813">
        <v>1</v>
      </c>
    </row>
    <row r="19" spans="1:29" ht="41.4">
      <c r="A19" s="428"/>
      <c r="B19" s="451" t="s">
        <v>2097</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6"/>
      <c r="Q19" s="1812" t="str">
        <f>B19</f>
        <v>公共配套设施</v>
      </c>
      <c r="R19" s="774" t="s">
        <v>21</v>
      </c>
      <c r="S19" s="775">
        <f>F19</f>
        <v>100</v>
      </c>
      <c r="T19" s="774" t="s">
        <v>21</v>
      </c>
      <c r="U19" s="775">
        <f>H19</f>
        <v>100</v>
      </c>
      <c r="V19" s="774" t="s">
        <v>21</v>
      </c>
      <c r="W19" s="775">
        <f>J19</f>
        <v>100</v>
      </c>
      <c r="X19" s="1815"/>
      <c r="Y19" s="3199"/>
      <c r="Z19" s="1816" t="str">
        <f>Q19</f>
        <v>公共配套设施</v>
      </c>
      <c r="AA19" s="1813">
        <f t="shared" si="3"/>
        <v>1</v>
      </c>
      <c r="AB19" s="1813">
        <f t="shared" si="4"/>
        <v>1</v>
      </c>
      <c r="AC19" s="1813">
        <f t="shared" si="5"/>
        <v>1</v>
      </c>
    </row>
    <row r="20" spans="1:29" ht="15">
      <c r="A20" s="428"/>
      <c r="B20" s="456"/>
      <c r="C20" s="447"/>
      <c r="D20" s="448"/>
      <c r="E20" s="2608"/>
      <c r="F20" s="448"/>
      <c r="G20" s="2609"/>
      <c r="H20" s="448"/>
      <c r="I20" s="2609"/>
      <c r="J20" s="448"/>
      <c r="K20" s="2610"/>
      <c r="L20" s="1143"/>
      <c r="M20" s="1134"/>
      <c r="N20" s="1134"/>
      <c r="O20" s="1134"/>
      <c r="P20" s="3206"/>
      <c r="Q20" s="1812"/>
      <c r="R20" s="774"/>
      <c r="S20" s="775"/>
      <c r="T20" s="774"/>
      <c r="U20" s="775"/>
      <c r="V20" s="774"/>
      <c r="W20" s="775"/>
      <c r="X20" s="1815"/>
      <c r="Y20" s="3199"/>
      <c r="Z20" s="1816"/>
      <c r="AA20" s="1813">
        <v>1</v>
      </c>
      <c r="AB20" s="1813">
        <v>1</v>
      </c>
      <c r="AC20" s="1813">
        <v>1</v>
      </c>
    </row>
    <row r="21" spans="1:29" ht="27.6">
      <c r="A21" s="428"/>
      <c r="B21" s="1387" t="s">
        <v>2100</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6"/>
      <c r="Q21" s="1812" t="str">
        <f>B21</f>
        <v>基础设施水平</v>
      </c>
      <c r="R21" s="774" t="s">
        <v>17</v>
      </c>
      <c r="S21" s="775">
        <f>F21</f>
        <v>100</v>
      </c>
      <c r="T21" s="774" t="s">
        <v>17</v>
      </c>
      <c r="U21" s="775">
        <f>H21</f>
        <v>100</v>
      </c>
      <c r="V21" s="774" t="s">
        <v>17</v>
      </c>
      <c r="W21" s="775">
        <f>J21</f>
        <v>100</v>
      </c>
      <c r="X21" s="1815"/>
      <c r="Y21" s="3199"/>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8"/>
      <c r="G22" s="2615"/>
      <c r="H22" s="448"/>
      <c r="I22" s="447"/>
      <c r="J22" s="448"/>
      <c r="K22" s="2616"/>
      <c r="L22" s="1143"/>
      <c r="M22" s="1134"/>
      <c r="N22" s="1134"/>
      <c r="O22" s="1134"/>
      <c r="P22" s="3206"/>
      <c r="Q22" s="1812"/>
      <c r="R22" s="774"/>
      <c r="S22" s="775"/>
      <c r="T22" s="774"/>
      <c r="U22" s="775"/>
      <c r="V22" s="774"/>
      <c r="W22" s="775"/>
      <c r="X22" s="1815"/>
      <c r="Y22" s="3199"/>
      <c r="Z22" s="1816"/>
      <c r="AA22" s="1813">
        <v>1</v>
      </c>
      <c r="AB22" s="1813">
        <v>1</v>
      </c>
      <c r="AC22" s="1813">
        <v>1</v>
      </c>
    </row>
    <row r="23" spans="1:29" ht="55.2">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6"/>
      <c r="Q23" s="1812" t="str">
        <f>B23</f>
        <v>自然及人文环境</v>
      </c>
      <c r="R23" s="774" t="s">
        <v>21</v>
      </c>
      <c r="S23" s="775">
        <f>F23</f>
        <v>100</v>
      </c>
      <c r="T23" s="774" t="s">
        <v>21</v>
      </c>
      <c r="U23" s="775">
        <f>H23</f>
        <v>100</v>
      </c>
      <c r="V23" s="774" t="s">
        <v>21</v>
      </c>
      <c r="W23" s="775">
        <f>J23</f>
        <v>100</v>
      </c>
      <c r="X23" s="1815"/>
      <c r="Y23" s="3199"/>
      <c r="Z23" s="1816" t="str">
        <f>Q23</f>
        <v>自然及人文环境</v>
      </c>
      <c r="AA23" s="1813">
        <f>D23/F23</f>
        <v>1</v>
      </c>
      <c r="AB23" s="1813">
        <f>D23/H23</f>
        <v>1</v>
      </c>
      <c r="AC23" s="1813">
        <f>D23/J23</f>
        <v>1</v>
      </c>
    </row>
    <row r="24" spans="1:29" ht="15">
      <c r="A24" s="428"/>
      <c r="B24" s="456"/>
      <c r="C24" s="447"/>
      <c r="D24" s="448"/>
      <c r="E24" s="2608"/>
      <c r="F24" s="448"/>
      <c r="G24" s="2609"/>
      <c r="H24" s="448"/>
      <c r="I24" s="2609"/>
      <c r="J24" s="448"/>
      <c r="K24" s="2610"/>
      <c r="L24" s="1143"/>
      <c r="M24" s="1134"/>
      <c r="N24" s="1134"/>
      <c r="O24" s="1134"/>
      <c r="P24" s="3206"/>
      <c r="Q24" s="1812"/>
      <c r="R24" s="774"/>
      <c r="S24" s="775"/>
      <c r="T24" s="774"/>
      <c r="U24" s="775"/>
      <c r="V24" s="774"/>
      <c r="W24" s="775"/>
      <c r="X24" s="1815"/>
      <c r="Y24" s="3199"/>
      <c r="Z24" s="1816"/>
      <c r="AA24" s="1813">
        <v>1</v>
      </c>
      <c r="AB24" s="1813">
        <v>1</v>
      </c>
      <c r="AC24" s="1813">
        <v>1</v>
      </c>
    </row>
    <row r="25" spans="1:29" ht="15">
      <c r="A25" s="428"/>
      <c r="B25" s="422" t="s">
        <v>2562</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0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9"/>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06"/>
      <c r="Q26" s="1812" t="str">
        <f t="shared" si="11"/>
        <v>朝向</v>
      </c>
      <c r="R26" s="774" t="s">
        <v>21</v>
      </c>
      <c r="S26" s="775">
        <f t="shared" si="12"/>
        <v>100</v>
      </c>
      <c r="T26" s="774" t="s">
        <v>21</v>
      </c>
      <c r="U26" s="775">
        <f t="shared" si="13"/>
        <v>100</v>
      </c>
      <c r="V26" s="774" t="s">
        <v>21</v>
      </c>
      <c r="W26" s="775">
        <f t="shared" si="14"/>
        <v>100</v>
      </c>
      <c r="X26" s="1815"/>
      <c r="Y26" s="3199"/>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06"/>
      <c r="Q27" s="1797">
        <f t="shared" si="11"/>
        <v>111</v>
      </c>
      <c r="R27" s="770" t="s">
        <v>21</v>
      </c>
      <c r="S27" s="771">
        <f t="shared" si="12"/>
        <v>100</v>
      </c>
      <c r="T27" s="770" t="s">
        <v>21</v>
      </c>
      <c r="U27" s="771">
        <f t="shared" si="13"/>
        <v>100</v>
      </c>
      <c r="V27" s="770" t="s">
        <v>21</v>
      </c>
      <c r="W27" s="771">
        <f t="shared" si="14"/>
        <v>100</v>
      </c>
      <c r="X27" s="772"/>
      <c r="Y27" s="3199"/>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06"/>
      <c r="Q28" s="1812">
        <f t="shared" si="11"/>
        <v>111</v>
      </c>
      <c r="R28" s="774" t="s">
        <v>21</v>
      </c>
      <c r="S28" s="775">
        <f t="shared" si="12"/>
        <v>100</v>
      </c>
      <c r="T28" s="774" t="s">
        <v>21</v>
      </c>
      <c r="U28" s="775">
        <f t="shared" si="13"/>
        <v>100</v>
      </c>
      <c r="V28" s="774" t="s">
        <v>21</v>
      </c>
      <c r="W28" s="775">
        <f t="shared" si="14"/>
        <v>100</v>
      </c>
      <c r="X28" s="1815"/>
      <c r="Y28" s="3199"/>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06"/>
      <c r="Q29" s="1812">
        <f t="shared" si="11"/>
        <v>111</v>
      </c>
      <c r="R29" s="774" t="s">
        <v>21</v>
      </c>
      <c r="S29" s="775">
        <f t="shared" si="12"/>
        <v>100</v>
      </c>
      <c r="T29" s="774" t="s">
        <v>21</v>
      </c>
      <c r="U29" s="775">
        <f t="shared" si="13"/>
        <v>100</v>
      </c>
      <c r="V29" s="774" t="s">
        <v>21</v>
      </c>
      <c r="W29" s="775">
        <f t="shared" si="14"/>
        <v>100</v>
      </c>
      <c r="X29" s="1815"/>
      <c r="Y29" s="3199"/>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06"/>
      <c r="Q30" s="1812">
        <f t="shared" si="11"/>
        <v>111</v>
      </c>
      <c r="R30" s="774" t="s">
        <v>21</v>
      </c>
      <c r="S30" s="775">
        <f t="shared" si="12"/>
        <v>100</v>
      </c>
      <c r="T30" s="774" t="s">
        <v>21</v>
      </c>
      <c r="U30" s="775">
        <f t="shared" si="13"/>
        <v>100</v>
      </c>
      <c r="V30" s="774" t="s">
        <v>21</v>
      </c>
      <c r="W30" s="775">
        <f t="shared" si="14"/>
        <v>100</v>
      </c>
      <c r="X30" s="1815"/>
      <c r="Y30" s="3199"/>
      <c r="Z30" s="1816">
        <f t="shared" si="18"/>
        <v>111</v>
      </c>
      <c r="AA30" s="1813">
        <f t="shared" si="15"/>
        <v>1</v>
      </c>
      <c r="AB30" s="1813">
        <f t="shared" si="16"/>
        <v>1</v>
      </c>
      <c r="AC30" s="1813">
        <f t="shared" si="17"/>
        <v>1</v>
      </c>
    </row>
    <row r="31" spans="1:29" ht="15.6"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06"/>
      <c r="Q31" s="1812">
        <f t="shared" si="11"/>
        <v>111</v>
      </c>
      <c r="R31" s="774" t="s">
        <v>21</v>
      </c>
      <c r="S31" s="775">
        <f t="shared" si="12"/>
        <v>100</v>
      </c>
      <c r="T31" s="774" t="s">
        <v>21</v>
      </c>
      <c r="U31" s="775">
        <f t="shared" si="13"/>
        <v>100</v>
      </c>
      <c r="V31" s="774" t="s">
        <v>21</v>
      </c>
      <c r="W31" s="775">
        <f t="shared" si="14"/>
        <v>100</v>
      </c>
      <c r="X31" s="1815"/>
      <c r="Y31" s="3199"/>
      <c r="Z31" s="1816">
        <f t="shared" si="18"/>
        <v>111</v>
      </c>
      <c r="AA31" s="1813">
        <f t="shared" si="15"/>
        <v>1</v>
      </c>
      <c r="AB31" s="1813">
        <f t="shared" si="16"/>
        <v>1</v>
      </c>
      <c r="AC31" s="1813">
        <f t="shared" si="17"/>
        <v>1</v>
      </c>
    </row>
    <row r="32" spans="1:29" ht="15">
      <c r="A32" s="440" t="s">
        <v>2564</v>
      </c>
      <c r="B32" s="71" t="s">
        <v>2565</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00" t="s">
        <v>2566</v>
      </c>
      <c r="Q32" s="1812" t="str">
        <f t="shared" si="11"/>
        <v>建筑类型</v>
      </c>
      <c r="R32" s="774" t="s">
        <v>21</v>
      </c>
      <c r="S32" s="775">
        <f t="shared" si="12"/>
        <v>100</v>
      </c>
      <c r="T32" s="774" t="s">
        <v>21</v>
      </c>
      <c r="U32" s="775">
        <f t="shared" si="13"/>
        <v>100</v>
      </c>
      <c r="V32" s="774" t="s">
        <v>21</v>
      </c>
      <c r="W32" s="775">
        <f t="shared" si="14"/>
        <v>100</v>
      </c>
      <c r="X32" s="1815"/>
      <c r="Y32" s="3203"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01"/>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3" t="e">
        <f t="shared" si="15"/>
        <v>#N/A</v>
      </c>
      <c r="AB33" s="1813" t="e">
        <f t="shared" si="16"/>
        <v>#N/A</v>
      </c>
      <c r="AC33" s="1813" t="e">
        <f t="shared" si="17"/>
        <v>#N/A</v>
      </c>
    </row>
    <row r="34" spans="1:29" ht="15">
      <c r="A34" s="472"/>
      <c r="B34" s="422" t="s">
        <v>2568</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01"/>
      <c r="Q34" s="1812" t="str">
        <f t="shared" si="11"/>
        <v>建筑结构</v>
      </c>
      <c r="R34" s="774" t="s">
        <v>21</v>
      </c>
      <c r="S34" s="775">
        <f t="shared" si="12"/>
        <v>100</v>
      </c>
      <c r="T34" s="774" t="s">
        <v>21</v>
      </c>
      <c r="U34" s="775">
        <f t="shared" si="13"/>
        <v>100</v>
      </c>
      <c r="V34" s="774" t="s">
        <v>21</v>
      </c>
      <c r="W34" s="775">
        <f t="shared" si="14"/>
        <v>100</v>
      </c>
      <c r="X34" s="1815"/>
      <c r="Y34" s="3203"/>
      <c r="Z34" s="1816" t="str">
        <f t="shared" si="18"/>
        <v>建筑结构</v>
      </c>
      <c r="AA34" s="1813">
        <f t="shared" si="15"/>
        <v>1</v>
      </c>
      <c r="AB34" s="1813">
        <f t="shared" si="16"/>
        <v>1</v>
      </c>
      <c r="AC34" s="1813">
        <f t="shared" si="17"/>
        <v>1</v>
      </c>
    </row>
    <row r="35" spans="1:29" ht="15">
      <c r="A35" s="472"/>
      <c r="B35" s="422" t="s">
        <v>2569</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01"/>
      <c r="Q35" s="1812" t="str">
        <f t="shared" si="11"/>
        <v>建筑品质</v>
      </c>
      <c r="R35" s="774" t="s">
        <v>21</v>
      </c>
      <c r="S35" s="775">
        <f t="shared" si="12"/>
        <v>100</v>
      </c>
      <c r="T35" s="774" t="s">
        <v>21</v>
      </c>
      <c r="U35" s="775">
        <f t="shared" si="13"/>
        <v>100</v>
      </c>
      <c r="V35" s="774" t="s">
        <v>21</v>
      </c>
      <c r="W35" s="775">
        <f t="shared" si="14"/>
        <v>100</v>
      </c>
      <c r="X35" s="1815"/>
      <c r="Y35" s="3203"/>
      <c r="Z35" s="1816" t="str">
        <f t="shared" si="18"/>
        <v>建筑品质</v>
      </c>
      <c r="AA35" s="1813">
        <f t="shared" si="15"/>
        <v>1</v>
      </c>
      <c r="AB35" s="1813">
        <f t="shared" si="16"/>
        <v>1</v>
      </c>
      <c r="AC35" s="1813">
        <f t="shared" si="17"/>
        <v>1</v>
      </c>
    </row>
    <row r="36" spans="1:29" ht="15">
      <c r="A36" s="472"/>
      <c r="B36" s="422" t="s">
        <v>2570</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01"/>
      <c r="Q36" s="1812" t="str">
        <f t="shared" si="11"/>
        <v>公共部分装修</v>
      </c>
      <c r="R36" s="774" t="s">
        <v>21</v>
      </c>
      <c r="S36" s="775">
        <f t="shared" si="12"/>
        <v>100</v>
      </c>
      <c r="T36" s="774" t="s">
        <v>21</v>
      </c>
      <c r="U36" s="775">
        <f t="shared" si="13"/>
        <v>100</v>
      </c>
      <c r="V36" s="774" t="s">
        <v>21</v>
      </c>
      <c r="W36" s="775">
        <f t="shared" si="14"/>
        <v>100</v>
      </c>
      <c r="X36" s="1815"/>
      <c r="Y36" s="3203"/>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1"/>
      <c r="Q37" s="1797"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2572</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01" t="s">
        <v>2566</v>
      </c>
      <c r="Q38" s="1812" t="str">
        <f t="shared" si="11"/>
        <v>物业管理</v>
      </c>
      <c r="R38" s="774" t="s">
        <v>21</v>
      </c>
      <c r="S38" s="775">
        <f t="shared" si="12"/>
        <v>100</v>
      </c>
      <c r="T38" s="774" t="s">
        <v>21</v>
      </c>
      <c r="U38" s="775">
        <f t="shared" si="13"/>
        <v>100</v>
      </c>
      <c r="V38" s="774" t="s">
        <v>21</v>
      </c>
      <c r="W38" s="775">
        <f t="shared" si="14"/>
        <v>100</v>
      </c>
      <c r="X38" s="1815"/>
      <c r="Y38" s="3203" t="s">
        <v>2566</v>
      </c>
      <c r="Z38" s="1816" t="str">
        <f t="shared" si="18"/>
        <v>物业管理</v>
      </c>
      <c r="AA38" s="1813">
        <f t="shared" si="15"/>
        <v>1</v>
      </c>
      <c r="AB38" s="1813">
        <f t="shared" si="16"/>
        <v>1</v>
      </c>
      <c r="AC38" s="1813">
        <f t="shared" si="17"/>
        <v>1</v>
      </c>
    </row>
    <row r="39" spans="1:29" ht="15">
      <c r="A39" s="472"/>
      <c r="B39" s="422" t="s">
        <v>2573</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01"/>
      <c r="Q39" s="1812" t="str">
        <f t="shared" si="11"/>
        <v>市政基础设施</v>
      </c>
      <c r="R39" s="774" t="s">
        <v>21</v>
      </c>
      <c r="S39" s="775">
        <f t="shared" si="12"/>
        <v>100</v>
      </c>
      <c r="T39" s="774" t="s">
        <v>21</v>
      </c>
      <c r="U39" s="775">
        <f t="shared" si="13"/>
        <v>100</v>
      </c>
      <c r="V39" s="774" t="s">
        <v>21</v>
      </c>
      <c r="W39" s="775">
        <f t="shared" si="14"/>
        <v>100</v>
      </c>
      <c r="X39" s="1815"/>
      <c r="Y39" s="3203"/>
      <c r="Z39" s="1816" t="str">
        <f t="shared" si="18"/>
        <v>市政基础设施</v>
      </c>
      <c r="AA39" s="1813">
        <f t="shared" si="15"/>
        <v>1</v>
      </c>
      <c r="AB39" s="1813">
        <f t="shared" si="16"/>
        <v>1</v>
      </c>
      <c r="AC39" s="1813">
        <f t="shared" si="17"/>
        <v>1</v>
      </c>
    </row>
    <row r="40" spans="1:29" ht="15">
      <c r="A40" s="472"/>
      <c r="B40" s="422" t="s">
        <v>2574</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01"/>
      <c r="Q40" s="1812" t="str">
        <f t="shared" si="11"/>
        <v>房型</v>
      </c>
      <c r="R40" s="774" t="s">
        <v>21</v>
      </c>
      <c r="S40" s="775">
        <f t="shared" si="12"/>
        <v>100</v>
      </c>
      <c r="T40" s="774" t="s">
        <v>21</v>
      </c>
      <c r="U40" s="775">
        <f t="shared" si="13"/>
        <v>100</v>
      </c>
      <c r="V40" s="774" t="s">
        <v>21</v>
      </c>
      <c r="W40" s="775">
        <f t="shared" si="14"/>
        <v>100</v>
      </c>
      <c r="X40" s="1815"/>
      <c r="Y40" s="3203"/>
      <c r="Z40" s="1816" t="str">
        <f t="shared" si="18"/>
        <v>房型</v>
      </c>
      <c r="AA40" s="1813">
        <f t="shared" si="15"/>
        <v>1</v>
      </c>
      <c r="AB40" s="1813">
        <f t="shared" si="16"/>
        <v>1</v>
      </c>
      <c r="AC40" s="1813">
        <f t="shared" si="17"/>
        <v>1</v>
      </c>
    </row>
    <row r="41" spans="1:29" s="471" customFormat="1" ht="28.8">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01"/>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3">
        <f t="shared" si="15"/>
        <v>1</v>
      </c>
      <c r="AB41" s="1813">
        <f t="shared" si="16"/>
        <v>1</v>
      </c>
      <c r="AC41" s="1813">
        <f t="shared" si="17"/>
        <v>1</v>
      </c>
    </row>
    <row r="42" spans="1:29" ht="15">
      <c r="A42" s="472"/>
      <c r="B42" s="422" t="s">
        <v>2576</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01"/>
      <c r="Q42" s="1812" t="str">
        <f t="shared" si="11"/>
        <v>内部装修</v>
      </c>
      <c r="R42" s="774" t="s">
        <v>21</v>
      </c>
      <c r="S42" s="775">
        <f t="shared" si="12"/>
        <v>100</v>
      </c>
      <c r="T42" s="774" t="s">
        <v>21</v>
      </c>
      <c r="U42" s="775">
        <f t="shared" si="13"/>
        <v>100</v>
      </c>
      <c r="V42" s="774" t="s">
        <v>21</v>
      </c>
      <c r="W42" s="775">
        <f t="shared" si="14"/>
        <v>100</v>
      </c>
      <c r="X42" s="1815"/>
      <c r="Y42" s="3203"/>
      <c r="Z42" s="1816" t="str">
        <f t="shared" si="18"/>
        <v>内部装修</v>
      </c>
      <c r="AA42" s="1813">
        <f t="shared" si="15"/>
        <v>1</v>
      </c>
      <c r="AB42" s="1813">
        <f t="shared" si="16"/>
        <v>1</v>
      </c>
      <c r="AC42" s="1813">
        <f t="shared" si="17"/>
        <v>1</v>
      </c>
    </row>
    <row r="43" spans="1:29" ht="28.8">
      <c r="A43" s="472"/>
      <c r="B43" s="422" t="s">
        <v>2577</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01"/>
      <c r="Q43" s="1812" t="str">
        <f t="shared" si="11"/>
        <v>内部装修维护情况</v>
      </c>
      <c r="R43" s="774" t="s">
        <v>21</v>
      </c>
      <c r="S43" s="775">
        <f t="shared" si="12"/>
        <v>100</v>
      </c>
      <c r="T43" s="774" t="s">
        <v>21</v>
      </c>
      <c r="U43" s="775">
        <f t="shared" si="13"/>
        <v>100</v>
      </c>
      <c r="V43" s="774" t="s">
        <v>21</v>
      </c>
      <c r="W43" s="775">
        <f t="shared" si="14"/>
        <v>100</v>
      </c>
      <c r="X43" s="1815"/>
      <c r="Y43" s="3203"/>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01"/>
      <c r="Q44" s="1797">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01"/>
      <c r="Q45" s="1812">
        <f t="shared" si="11"/>
        <v>111</v>
      </c>
      <c r="R45" s="774" t="s">
        <v>21</v>
      </c>
      <c r="S45" s="775">
        <f t="shared" si="12"/>
        <v>100</v>
      </c>
      <c r="T45" s="774" t="s">
        <v>21</v>
      </c>
      <c r="U45" s="775">
        <f t="shared" si="13"/>
        <v>100</v>
      </c>
      <c r="V45" s="774" t="s">
        <v>21</v>
      </c>
      <c r="W45" s="775">
        <f t="shared" si="14"/>
        <v>100</v>
      </c>
      <c r="X45" s="1815"/>
      <c r="Y45" s="3203"/>
      <c r="Z45" s="1816">
        <f t="shared" si="18"/>
        <v>111</v>
      </c>
      <c r="AA45" s="1813">
        <f t="shared" si="15"/>
        <v>1</v>
      </c>
      <c r="AB45" s="1813">
        <f t="shared" si="16"/>
        <v>1</v>
      </c>
      <c r="AC45" s="1813">
        <f t="shared" si="17"/>
        <v>1</v>
      </c>
    </row>
    <row r="46" spans="1:29" ht="15.6"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02"/>
      <c r="Q46" s="1812">
        <f t="shared" si="11"/>
        <v>111</v>
      </c>
      <c r="R46" s="774" t="s">
        <v>20</v>
      </c>
      <c r="S46" s="775">
        <f t="shared" si="12"/>
        <v>100</v>
      </c>
      <c r="T46" s="774" t="s">
        <v>20</v>
      </c>
      <c r="U46" s="775">
        <f t="shared" si="13"/>
        <v>100</v>
      </c>
      <c r="V46" s="774" t="s">
        <v>20</v>
      </c>
      <c r="W46" s="775">
        <f t="shared" si="14"/>
        <v>100</v>
      </c>
      <c r="X46" s="1815"/>
      <c r="Y46" s="3204"/>
      <c r="Z46" s="1816">
        <f t="shared" si="18"/>
        <v>111</v>
      </c>
      <c r="AA46" s="1813">
        <f t="shared" si="15"/>
        <v>1</v>
      </c>
      <c r="AB46" s="1813">
        <f t="shared" si="16"/>
        <v>1</v>
      </c>
      <c r="AC46" s="1813">
        <f t="shared" si="17"/>
        <v>1</v>
      </c>
    </row>
    <row r="47" spans="1:29" ht="14.4">
      <c r="A47" s="479" t="s">
        <v>2578</v>
      </c>
      <c r="B47" s="480"/>
      <c r="C47" s="1409" t="s">
        <v>19</v>
      </c>
      <c r="D47" s="1410"/>
      <c r="E47" s="1411"/>
      <c r="F47" s="1412"/>
      <c r="G47" s="1413"/>
      <c r="H47" s="1414"/>
      <c r="I47" s="1411"/>
      <c r="J47" s="1414"/>
      <c r="K47" s="2625"/>
      <c r="L47" s="1146"/>
      <c r="M47" s="1147"/>
      <c r="N47" s="1134"/>
      <c r="O47" s="1147"/>
      <c r="P47" s="3196" t="str">
        <f>A47</f>
        <v>成交单价（元/平方米）</v>
      </c>
      <c r="Q47" s="3196"/>
      <c r="R47" s="3197">
        <f>E47</f>
        <v>0</v>
      </c>
      <c r="S47" s="3197"/>
      <c r="T47" s="3197">
        <f>G47</f>
        <v>0</v>
      </c>
      <c r="U47" s="3197"/>
      <c r="V47" s="3197">
        <f>I47</f>
        <v>0</v>
      </c>
      <c r="W47" s="3197"/>
      <c r="X47" s="759"/>
      <c r="Y47" s="781"/>
      <c r="Z47" s="759"/>
      <c r="AA47" s="759"/>
      <c r="AB47" s="759"/>
      <c r="AC47" s="759"/>
    </row>
    <row r="48" spans="1:29" ht="15" thickBot="1">
      <c r="A48" s="486" t="s">
        <v>2579</v>
      </c>
      <c r="B48" s="487"/>
      <c r="C48" s="1415" t="e">
        <f>R49</f>
        <v>#DIV/0!</v>
      </c>
      <c r="D48" s="1416"/>
      <c r="E48" s="1417" t="e">
        <f>R48</f>
        <v>#DIV/0!</v>
      </c>
      <c r="F48" s="1417"/>
      <c r="G48" s="1415" t="e">
        <f>T48</f>
        <v>#DIV/0!</v>
      </c>
      <c r="H48" s="1416"/>
      <c r="I48" s="1417" t="e">
        <f>V48</f>
        <v>#DIV/0!</v>
      </c>
      <c r="J48" s="1416"/>
      <c r="K48" s="2626"/>
      <c r="L48" s="1146"/>
      <c r="M48" s="1147"/>
      <c r="N48" s="1147"/>
      <c r="O48" s="1147"/>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 thickBot="1">
      <c r="A49" s="492" t="s">
        <v>2580</v>
      </c>
      <c r="B49" s="493"/>
      <c r="C49" s="1418" t="e">
        <f>R49</f>
        <v>#DIV/0!</v>
      </c>
      <c r="D49" s="1419"/>
      <c r="E49" s="1419"/>
      <c r="F49" s="1419"/>
      <c r="G49" s="1419"/>
      <c r="H49" s="1419"/>
      <c r="I49" s="1419"/>
      <c r="J49" s="1419"/>
      <c r="K49" s="2627"/>
      <c r="L49" s="1146"/>
      <c r="M49" s="1147"/>
      <c r="N49" s="1147"/>
      <c r="O49" s="1147"/>
      <c r="P49" s="3193" t="str">
        <f>A49</f>
        <v>估价对象XX用房的比较价值（楼面单价，元/平方米）</v>
      </c>
      <c r="Q49" s="3194"/>
      <c r="R49" s="3195" t="e">
        <f>IF(F1="售价",ROUND(AVERAGE(R48:V48),0),ROUND(AVERAGE(R48:V48),1))</f>
        <v>#DIV/0!</v>
      </c>
      <c r="S49" s="3195"/>
      <c r="T49" s="3195"/>
      <c r="U49" s="3195"/>
      <c r="V49" s="3195"/>
      <c r="W49" s="319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2.2" thickBot="1">
      <c r="A57" s="763" t="s">
        <v>2584</v>
      </c>
      <c r="B57" s="759"/>
      <c r="C57" s="764"/>
      <c r="D57" s="764"/>
      <c r="E57" s="764"/>
      <c r="F57" s="765"/>
      <c r="G57" s="765"/>
      <c r="H57" s="764"/>
      <c r="I57" s="764"/>
      <c r="J57" s="764"/>
      <c r="K57" s="1163"/>
      <c r="L57" s="1164"/>
      <c r="M57" s="1162"/>
      <c r="N57" s="1162"/>
      <c r="O57" s="1162"/>
      <c r="P57" s="2630"/>
      <c r="Q57" s="504"/>
    </row>
    <row r="58" spans="1:29" s="508" customFormat="1" ht="14.4">
      <c r="A58" s="505" t="s">
        <v>2585</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c r="A59" s="509"/>
      <c r="B59" s="2631"/>
      <c r="C59" s="1575">
        <v>100</v>
      </c>
      <c r="D59" s="511"/>
      <c r="E59" s="512"/>
      <c r="F59" s="512"/>
      <c r="G59" s="512"/>
      <c r="H59" s="512"/>
      <c r="I59" s="512"/>
      <c r="J59" s="512"/>
      <c r="K59" s="512"/>
      <c r="L59" s="512"/>
      <c r="M59" s="513"/>
      <c r="N59" s="512"/>
      <c r="O59" s="513"/>
      <c r="P59" s="2632"/>
    </row>
    <row r="60" spans="1:29" s="117" customFormat="1" ht="15" thickBot="1">
      <c r="A60" s="515" t="s">
        <v>2586</v>
      </c>
      <c r="B60" s="516"/>
      <c r="C60" s="517"/>
      <c r="D60" s="518"/>
      <c r="E60" s="518"/>
      <c r="F60" s="518"/>
      <c r="G60" s="518"/>
      <c r="H60" s="518"/>
      <c r="I60" s="518"/>
      <c r="J60" s="518"/>
      <c r="K60" s="518"/>
      <c r="L60" s="518"/>
      <c r="M60" s="519"/>
      <c r="N60" s="518"/>
      <c r="O60" s="519"/>
      <c r="P60" s="2632"/>
      <c r="Q60" s="504"/>
    </row>
    <row r="61" spans="1:29" s="117" customFormat="1" ht="14.4">
      <c r="A61" s="521" t="s">
        <v>2587</v>
      </c>
      <c r="B61" s="510"/>
      <c r="C61" s="522" t="s">
        <v>2588</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2589</v>
      </c>
      <c r="B63" s="528" t="s">
        <v>2555</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4"/>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60"/>
      <c r="E73" s="560"/>
      <c r="F73" s="560"/>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2100</v>
      </c>
      <c r="C82" s="539" t="s">
        <v>2605</v>
      </c>
      <c r="D82" s="539" t="s">
        <v>2606</v>
      </c>
      <c r="E82" s="539" t="s">
        <v>2607</v>
      </c>
      <c r="F82" s="539" t="s">
        <v>2608</v>
      </c>
      <c r="G82" s="539" t="s">
        <v>2609</v>
      </c>
      <c r="H82" s="539"/>
      <c r="I82" s="539"/>
      <c r="J82" s="539"/>
      <c r="K82" s="539"/>
      <c r="L82" s="539"/>
      <c r="M82" s="1385"/>
      <c r="N82" s="1156"/>
      <c r="O82" s="1156"/>
      <c r="P82" s="2634"/>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2611</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 thickTop="1">
      <c r="A88" s="579"/>
      <c r="B88" s="538" t="s">
        <v>2612</v>
      </c>
      <c r="C88" s="554"/>
      <c r="D88" s="554"/>
      <c r="E88" s="554"/>
      <c r="F88" s="2639"/>
      <c r="G88" s="554"/>
      <c r="H88" s="554"/>
      <c r="I88" s="554"/>
      <c r="J88" s="554"/>
      <c r="K88" s="554"/>
      <c r="L88" s="554"/>
      <c r="M88" s="581"/>
      <c r="N88" s="1154"/>
      <c r="O88" s="1154"/>
      <c r="P88" s="2634"/>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4.4" thickTop="1">
      <c r="A90" s="553"/>
      <c r="B90" s="538">
        <f>B27</f>
        <v>111</v>
      </c>
      <c r="C90" s="554"/>
      <c r="D90" s="554"/>
      <c r="E90" s="554"/>
      <c r="F90" s="554"/>
      <c r="G90" s="554"/>
      <c r="H90" s="555"/>
      <c r="I90" s="555"/>
      <c r="J90" s="555"/>
      <c r="K90" s="555"/>
      <c r="L90" s="556"/>
      <c r="M90" s="557"/>
      <c r="N90" s="1157"/>
      <c r="O90" s="1157"/>
      <c r="P90" s="2635"/>
      <c r="Q90" s="559"/>
    </row>
    <row r="91" spans="1:17" s="471" customFormat="1" ht="14.4" thickBot="1">
      <c r="A91" s="553"/>
      <c r="B91" s="543"/>
      <c r="C91" s="560"/>
      <c r="D91" s="560"/>
      <c r="E91" s="560"/>
      <c r="F91" s="560"/>
      <c r="G91" s="560"/>
      <c r="H91" s="562"/>
      <c r="I91" s="562"/>
      <c r="J91" s="562"/>
      <c r="K91" s="562"/>
      <c r="L91" s="562"/>
      <c r="M91" s="563"/>
      <c r="N91" s="1157"/>
      <c r="O91" s="1157"/>
      <c r="P91" s="2635"/>
      <c r="Q91" s="559"/>
    </row>
    <row r="92" spans="1:17" ht="14.4" thickTop="1">
      <c r="A92" s="534"/>
      <c r="B92" s="538">
        <f>B28</f>
        <v>111</v>
      </c>
      <c r="C92" s="554"/>
      <c r="D92" s="554"/>
      <c r="E92" s="554"/>
      <c r="F92" s="554"/>
      <c r="G92" s="583"/>
      <c r="H92" s="583"/>
      <c r="I92" s="583"/>
      <c r="J92" s="583"/>
      <c r="K92" s="584"/>
      <c r="L92" s="585"/>
      <c r="M92" s="586"/>
      <c r="N92" s="1155"/>
      <c r="O92" s="1155"/>
      <c r="P92" s="2634"/>
      <c r="Q92" s="504"/>
    </row>
    <row r="93" spans="1:17" ht="14.4" thickBot="1">
      <c r="A93" s="534"/>
      <c r="B93" s="543"/>
      <c r="C93" s="560"/>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60"/>
      <c r="E95" s="560"/>
      <c r="F95" s="560"/>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70"/>
      <c r="D97" s="570"/>
      <c r="E97" s="570"/>
      <c r="F97" s="570"/>
      <c r="G97" s="536"/>
      <c r="H97" s="536"/>
      <c r="I97" s="536"/>
      <c r="J97" s="536"/>
      <c r="K97" s="536"/>
      <c r="L97" s="536"/>
      <c r="M97" s="537"/>
      <c r="N97" s="1156"/>
      <c r="O97" s="1156"/>
      <c r="P97" s="2634"/>
      <c r="Q97" s="504"/>
    </row>
    <row r="98" spans="1:17" ht="14.4" thickTop="1">
      <c r="A98" s="534"/>
      <c r="B98" s="546">
        <f>B31</f>
        <v>111</v>
      </c>
      <c r="C98" s="587"/>
      <c r="D98" s="587"/>
      <c r="E98" s="587"/>
      <c r="F98" s="587"/>
      <c r="G98" s="587"/>
      <c r="H98" s="587"/>
      <c r="I98" s="587"/>
      <c r="J98" s="587"/>
      <c r="K98" s="588"/>
      <c r="L98" s="589"/>
      <c r="M98" s="590"/>
      <c r="N98" s="1155"/>
      <c r="O98" s="1155"/>
      <c r="P98" s="2634"/>
      <c r="Q98" s="504"/>
    </row>
    <row r="99" spans="1:17" ht="14.4" thickBot="1">
      <c r="A99" s="2640"/>
      <c r="B99" s="569"/>
      <c r="C99" s="591"/>
      <c r="D99" s="591"/>
      <c r="E99" s="591"/>
      <c r="F99" s="591"/>
      <c r="G99" s="591"/>
      <c r="H99" s="591"/>
      <c r="I99" s="591"/>
      <c r="J99" s="591"/>
      <c r="K99" s="591"/>
      <c r="L99" s="591"/>
      <c r="M99" s="592"/>
      <c r="N99" s="1156"/>
      <c r="O99" s="1156"/>
      <c r="P99" s="2634"/>
      <c r="Q99" s="504"/>
    </row>
    <row r="100" spans="1:17" ht="14.4">
      <c r="A100" s="527" t="s">
        <v>2564</v>
      </c>
      <c r="B100" s="528" t="s">
        <v>2613</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2615</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2616</v>
      </c>
      <c r="C107" s="583"/>
      <c r="D107" s="583"/>
      <c r="E107" s="583"/>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2617</v>
      </c>
      <c r="C109" s="554"/>
      <c r="D109" s="554"/>
      <c r="E109" s="554"/>
      <c r="F109" s="583"/>
      <c r="G109" s="583"/>
      <c r="H109" s="583"/>
      <c r="I109" s="583"/>
      <c r="J109" s="583"/>
      <c r="K109" s="584"/>
      <c r="L109" s="585"/>
      <c r="M109" s="586"/>
      <c r="N109" s="1155"/>
      <c r="O109" s="1155"/>
      <c r="P109" s="2634"/>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2618</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2619</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2620</v>
      </c>
      <c r="C118" s="583"/>
      <c r="D118" s="583"/>
      <c r="E118" s="583"/>
      <c r="F118" s="583"/>
      <c r="G118" s="583"/>
      <c r="H118" s="583"/>
      <c r="I118" s="583"/>
      <c r="J118" s="583"/>
      <c r="K118" s="584"/>
      <c r="L118" s="585"/>
      <c r="M118" s="586"/>
      <c r="N118" s="1155"/>
      <c r="O118" s="1155"/>
      <c r="P118" s="2634"/>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9.4" thickTop="1">
      <c r="A120" s="593"/>
      <c r="B120" s="538" t="s">
        <v>2575</v>
      </c>
      <c r="C120" s="554"/>
      <c r="D120" s="554"/>
      <c r="E120" s="554"/>
      <c r="F120" s="554"/>
      <c r="G120" s="554"/>
      <c r="H120" s="554"/>
      <c r="I120" s="554"/>
      <c r="J120" s="554"/>
      <c r="K120" s="554"/>
      <c r="L120" s="580"/>
      <c r="M120" s="581"/>
      <c r="N120" s="1157"/>
      <c r="O120" s="1157"/>
      <c r="P120" s="2635"/>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2621</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60"/>
      <c r="E129" s="560"/>
      <c r="F129" s="560"/>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6" t="s">
        <v>2626</v>
      </c>
      <c r="D138" s="146" t="s">
        <v>2627</v>
      </c>
      <c r="E138" s="2649" t="s">
        <v>2628</v>
      </c>
      <c r="F138" s="2650" t="s">
        <v>2629</v>
      </c>
      <c r="G138" s="146" t="s">
        <v>2627</v>
      </c>
      <c r="H138" s="147" t="s">
        <v>2628</v>
      </c>
      <c r="I138" s="2651"/>
      <c r="J138" s="146" t="s">
        <v>2630</v>
      </c>
      <c r="K138" s="147" t="s">
        <v>2631</v>
      </c>
    </row>
    <row r="139" spans="1:17" ht="15">
      <c r="B139" s="1087">
        <v>6</v>
      </c>
      <c r="C139" s="1088">
        <v>96</v>
      </c>
      <c r="D139" s="2652" t="s">
        <v>2632</v>
      </c>
      <c r="E139" s="1089">
        <v>100</v>
      </c>
      <c r="F139" s="1090">
        <v>102.5</v>
      </c>
      <c r="G139" s="2652" t="s">
        <v>2632</v>
      </c>
      <c r="H139" s="1091">
        <v>105</v>
      </c>
      <c r="I139" s="2653" t="s">
        <v>2633</v>
      </c>
      <c r="J139" s="1088">
        <v>20</v>
      </c>
      <c r="K139" s="1092">
        <f>C145/(J139-2)</f>
        <v>4.0555555555555553E-3</v>
      </c>
    </row>
    <row r="140" spans="1:17" ht="15">
      <c r="B140" s="1093">
        <v>5</v>
      </c>
      <c r="C140" s="1094">
        <v>100</v>
      </c>
      <c r="D140" s="1094"/>
      <c r="E140" s="1095"/>
      <c r="F140" s="1096">
        <v>102</v>
      </c>
      <c r="G140" s="1094"/>
      <c r="H140" s="1097"/>
      <c r="I140" s="2654" t="s">
        <v>2634</v>
      </c>
      <c r="J140" s="315">
        <f>ROUNDUP((J139-1)/2,0)</f>
        <v>10</v>
      </c>
      <c r="K140" s="1098">
        <v>100</v>
      </c>
    </row>
    <row r="141" spans="1:17" ht="15">
      <c r="B141" s="1093">
        <v>4</v>
      </c>
      <c r="C141" s="1094">
        <v>102</v>
      </c>
      <c r="D141" s="1094"/>
      <c r="E141" s="1095"/>
      <c r="F141" s="1096">
        <v>101.5</v>
      </c>
      <c r="G141" s="1094"/>
      <c r="H141" s="1097"/>
      <c r="I141" s="2654" t="s">
        <v>2635</v>
      </c>
      <c r="J141" s="315">
        <v>1</v>
      </c>
      <c r="K141" s="1099">
        <f>ROUND(100+(J141-J140)*K139*100,1)</f>
        <v>96.4</v>
      </c>
    </row>
    <row r="142" spans="1:17" ht="15">
      <c r="B142" s="1093">
        <v>3</v>
      </c>
      <c r="C142" s="1094">
        <v>103</v>
      </c>
      <c r="D142" s="1094"/>
      <c r="E142" s="1095"/>
      <c r="F142" s="1096">
        <v>101</v>
      </c>
      <c r="G142" s="1094"/>
      <c r="H142" s="1097"/>
      <c r="I142" s="2654" t="s">
        <v>2636</v>
      </c>
      <c r="J142" s="315">
        <f>J139</f>
        <v>20</v>
      </c>
      <c r="K142" s="1100">
        <v>95</v>
      </c>
    </row>
    <row r="143" spans="1:17" ht="15">
      <c r="B143" s="1093">
        <v>2</v>
      </c>
      <c r="C143" s="1094">
        <v>100</v>
      </c>
      <c r="D143" s="1094"/>
      <c r="E143" s="1095"/>
      <c r="F143" s="1096">
        <v>100.5</v>
      </c>
      <c r="G143" s="1094"/>
      <c r="H143" s="1097"/>
      <c r="I143" s="2654" t="s">
        <v>2637</v>
      </c>
      <c r="J143" s="1094">
        <v>15</v>
      </c>
      <c r="K143" s="1099">
        <f>ROUND(100+(J143-J140)*K139*100,1)</f>
        <v>102</v>
      </c>
    </row>
    <row r="144" spans="1:17" ht="15">
      <c r="B144" s="1093">
        <v>1</v>
      </c>
      <c r="C144" s="1094">
        <v>98</v>
      </c>
      <c r="D144" s="2655" t="s">
        <v>2638</v>
      </c>
      <c r="E144" s="1095">
        <v>102</v>
      </c>
      <c r="F144" s="1101">
        <v>100</v>
      </c>
      <c r="G144" s="2655" t="s">
        <v>2638</v>
      </c>
      <c r="H144" s="1097">
        <v>105</v>
      </c>
      <c r="I144" s="2654" t="s">
        <v>2637</v>
      </c>
      <c r="J144" s="1094">
        <v>18</v>
      </c>
      <c r="K144" s="1099">
        <f>ROUND(100+(J144-J140)*K139*100,1)</f>
        <v>103.2</v>
      </c>
    </row>
    <row r="145" spans="2:11" ht="16.2" thickBot="1">
      <c r="B145" s="2656" t="s">
        <v>2639</v>
      </c>
      <c r="C145" s="1102">
        <f>ROUND(MAX(C139:C144)/MIN(C139:C144)-1,3)</f>
        <v>7.2999999999999995E-2</v>
      </c>
      <c r="D145" s="1103"/>
      <c r="E145" s="1103"/>
      <c r="F145" s="2657" t="s">
        <v>2640</v>
      </c>
      <c r="G145" s="2658"/>
      <c r="H145" s="2659"/>
      <c r="I145" s="2660" t="s">
        <v>2637</v>
      </c>
      <c r="J145" s="1104">
        <v>8</v>
      </c>
      <c r="K145" s="1105">
        <f>ROUND(100+(J145-J140)*K139*100,1)</f>
        <v>99.2</v>
      </c>
    </row>
    <row r="147" spans="2:11" ht="14.4">
      <c r="B147" s="2641" t="s">
        <v>2641</v>
      </c>
    </row>
    <row r="148" spans="2:11" ht="14.4">
      <c r="B148" s="264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2529</v>
      </c>
      <c r="B1" s="2586" t="s">
        <v>2643</v>
      </c>
      <c r="C1" s="1636" t="s">
        <v>2531</v>
      </c>
      <c r="D1" s="1623"/>
      <c r="E1" s="2661"/>
      <c r="F1" s="2588"/>
      <c r="G1" s="1633" t="s">
        <v>2644</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8" customFormat="1" ht="28.5" customHeight="1" thickTop="1">
      <c r="A2" s="1619" t="s">
        <v>2328</v>
      </c>
      <c r="B2" s="1420" t="e">
        <f ca="1">IF(C2="——",ROUND(C49*D3/10000,0),ROUND(C49*D3/10000,0)-D2)</f>
        <v>#DIV/0!</v>
      </c>
      <c r="C2" s="2590"/>
      <c r="D2" s="1368" t="e">
        <f ca="1">SUMIF(INDIRECT("'"&amp;F2&amp;"'"&amp;"!A:A"),"承租人权益价值",INDIRECT("'"&amp;F2&amp;"'"&amp;"!c:c"))</f>
        <v>#REF!</v>
      </c>
      <c r="E2" s="2591" t="s">
        <v>2329</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2330</v>
      </c>
      <c r="B3" s="609" t="e">
        <f ca="1">IF(C2="——",C49,ROUND(B2*10000/D3,0))</f>
        <v>#DIV/0!</v>
      </c>
      <c r="C3" s="400" t="s">
        <v>2645</v>
      </c>
      <c r="D3" s="399">
        <f>IF(D1="",'数据-汇总表'!E3,SUMIF('数据-汇总表'!$C19:$C33,D1,'数据-汇总表'!$E19:$E33))</f>
        <v>7727.4000000000015</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4.4">
      <c r="A4" s="401" t="s">
        <v>2646</v>
      </c>
      <c r="B4" s="402"/>
      <c r="C4" s="3179" t="s">
        <v>2647</v>
      </c>
      <c r="D4" s="3180"/>
      <c r="E4" s="3181" t="s">
        <v>2648</v>
      </c>
      <c r="F4" s="3182"/>
      <c r="G4" s="3179" t="s">
        <v>2649</v>
      </c>
      <c r="H4" s="3180"/>
      <c r="I4" s="3179" t="s">
        <v>2650</v>
      </c>
      <c r="J4" s="3180"/>
      <c r="K4" s="610" t="s">
        <v>2651</v>
      </c>
      <c r="L4" s="1133"/>
      <c r="M4" s="1134"/>
      <c r="N4" s="1134"/>
      <c r="O4" s="1134"/>
      <c r="P4" s="3183" t="s">
        <v>2652</v>
      </c>
      <c r="Q4" s="3184"/>
      <c r="R4" s="3166" t="s">
        <v>2648</v>
      </c>
      <c r="S4" s="3167"/>
      <c r="T4" s="3166" t="s">
        <v>2649</v>
      </c>
      <c r="U4" s="3167"/>
      <c r="V4" s="3191" t="s">
        <v>2650</v>
      </c>
      <c r="W4" s="3191"/>
      <c r="X4" s="1815"/>
      <c r="Y4" s="3166" t="s">
        <v>2652</v>
      </c>
      <c r="Z4" s="3167"/>
      <c r="AA4" s="3161" t="s">
        <v>2648</v>
      </c>
      <c r="AB4" s="3191" t="s">
        <v>2649</v>
      </c>
      <c r="AC4" s="3161" t="s">
        <v>2650</v>
      </c>
    </row>
    <row r="5" spans="1:29">
      <c r="A5" s="404"/>
      <c r="B5" s="405"/>
      <c r="C5" s="3172" t="s">
        <v>2543</v>
      </c>
      <c r="D5" s="3173"/>
      <c r="E5" s="3170" t="s">
        <v>2544</v>
      </c>
      <c r="F5" s="3171"/>
      <c r="G5" s="3172" t="s">
        <v>2545</v>
      </c>
      <c r="H5" s="3173"/>
      <c r="I5" s="3172" t="s">
        <v>2546</v>
      </c>
      <c r="J5" s="3173"/>
      <c r="K5" s="610"/>
      <c r="L5" s="1133"/>
      <c r="M5" s="1134"/>
      <c r="N5" s="1134"/>
      <c r="O5" s="1134"/>
      <c r="P5" s="3185"/>
      <c r="Q5" s="3186"/>
      <c r="R5" s="3168"/>
      <c r="S5" s="3169"/>
      <c r="T5" s="3168"/>
      <c r="U5" s="3169"/>
      <c r="V5" s="3191"/>
      <c r="W5" s="3191"/>
      <c r="X5" s="1815"/>
      <c r="Y5" s="3168"/>
      <c r="Z5" s="3169"/>
      <c r="AA5" s="3162"/>
      <c r="AB5" s="3191"/>
      <c r="AC5" s="3162"/>
    </row>
    <row r="6" spans="1:29" ht="15" thickBot="1">
      <c r="A6" s="406"/>
      <c r="B6" s="407"/>
      <c r="C6" s="3174" t="s">
        <v>2547</v>
      </c>
      <c r="D6" s="3175"/>
      <c r="E6" s="3176" t="s">
        <v>2547</v>
      </c>
      <c r="F6" s="3177"/>
      <c r="G6" s="3174" t="s">
        <v>2547</v>
      </c>
      <c r="H6" s="3175"/>
      <c r="I6" s="3174" t="s">
        <v>2547</v>
      </c>
      <c r="J6" s="3175"/>
      <c r="K6" s="610" t="s">
        <v>2548</v>
      </c>
      <c r="L6" s="1133"/>
      <c r="M6" s="1134"/>
      <c r="N6" s="1134"/>
      <c r="O6" s="1134"/>
      <c r="P6" s="3187"/>
      <c r="Q6" s="3188"/>
      <c r="R6" s="3168"/>
      <c r="S6" s="3169"/>
      <c r="T6" s="3189"/>
      <c r="U6" s="3190"/>
      <c r="V6" s="3191"/>
      <c r="W6" s="3191"/>
      <c r="X6" s="1815"/>
      <c r="Y6" s="3189"/>
      <c r="Z6" s="3190"/>
      <c r="AA6" s="3163"/>
      <c r="AB6" s="3191"/>
      <c r="AC6" s="3163"/>
    </row>
    <row r="7" spans="1:29" s="117" customFormat="1" ht="15" thickBot="1">
      <c r="A7" s="408" t="s">
        <v>2549</v>
      </c>
      <c r="B7" s="409"/>
      <c r="C7" s="410">
        <f>'数据-取费表'!B2</f>
        <v>43269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4" t="s">
        <v>2550</v>
      </c>
      <c r="Q7" s="3192"/>
      <c r="R7" s="770" t="s">
        <v>17</v>
      </c>
      <c r="S7" s="771">
        <f t="shared" ref="S7:S15" si="0">F7</f>
        <v>0</v>
      </c>
      <c r="T7" s="770" t="s">
        <v>17</v>
      </c>
      <c r="U7" s="771">
        <f t="shared" ref="U7:U15" si="1">H7</f>
        <v>0</v>
      </c>
      <c r="V7" s="770" t="s">
        <v>17</v>
      </c>
      <c r="W7" s="771">
        <f t="shared" ref="W7:W15" si="2">J7</f>
        <v>0</v>
      </c>
      <c r="X7" s="772"/>
      <c r="Y7" s="3164" t="s">
        <v>2550</v>
      </c>
      <c r="Z7" s="3165"/>
      <c r="AA7" s="773" t="e">
        <f>D7/F7</f>
        <v>#DIV/0!</v>
      </c>
      <c r="AB7" s="773" t="e">
        <f>D7/H7</f>
        <v>#DIV/0!</v>
      </c>
      <c r="AC7" s="773" t="e">
        <f>D7/J7</f>
        <v>#DIV/0!</v>
      </c>
    </row>
    <row r="8" spans="1:29" s="117" customFormat="1" ht="1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4" t="s">
        <v>2553</v>
      </c>
      <c r="Q8" s="3165"/>
      <c r="R8" s="770" t="s">
        <v>17</v>
      </c>
      <c r="S8" s="771">
        <f t="shared" si="0"/>
        <v>0</v>
      </c>
      <c r="T8" s="770" t="s">
        <v>17</v>
      </c>
      <c r="U8" s="771">
        <f t="shared" si="1"/>
        <v>0</v>
      </c>
      <c r="V8" s="770" t="s">
        <v>17</v>
      </c>
      <c r="W8" s="771">
        <f t="shared" si="2"/>
        <v>0</v>
      </c>
      <c r="X8" s="772"/>
      <c r="Y8" s="3164" t="s">
        <v>2553</v>
      </c>
      <c r="Z8" s="3165"/>
      <c r="AA8" s="773" t="e">
        <f t="shared" ref="AA8:AA46" si="3">D8/F8</f>
        <v>#DIV/0!</v>
      </c>
      <c r="AB8" s="773" t="e">
        <f t="shared" ref="AB8:AB46" si="4">D8/H8</f>
        <v>#DIV/0!</v>
      </c>
      <c r="AC8" s="773" t="e">
        <f t="shared" ref="AC8:AC46" si="5">D8/J8</f>
        <v>#DIV/0!</v>
      </c>
    </row>
    <row r="9" spans="1:29" s="117" customFormat="1" ht="14.4">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8" t="s">
        <v>2556</v>
      </c>
      <c r="Q9" s="1797" t="str">
        <f t="shared" ref="Q9:Q15" si="6">B9</f>
        <v>用途</v>
      </c>
      <c r="R9" s="770" t="s">
        <v>17</v>
      </c>
      <c r="S9" s="771">
        <f t="shared" si="0"/>
        <v>100</v>
      </c>
      <c r="T9" s="770" t="s">
        <v>17</v>
      </c>
      <c r="U9" s="771">
        <f t="shared" si="1"/>
        <v>100</v>
      </c>
      <c r="V9" s="770" t="s">
        <v>17</v>
      </c>
      <c r="W9" s="771">
        <f t="shared" si="2"/>
        <v>100</v>
      </c>
      <c r="X9" s="772"/>
      <c r="Y9" s="3011"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8"/>
      <c r="Q10" s="179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8"/>
      <c r="Q11" s="1797"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8"/>
      <c r="Q12" s="179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8"/>
      <c r="Q13" s="179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6"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8"/>
      <c r="Q14" s="1797">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69">
      <c r="A15" s="440" t="s">
        <v>2560</v>
      </c>
      <c r="B15" s="69" t="s">
        <v>2654</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5" t="s">
        <v>2561</v>
      </c>
      <c r="Q15" s="1812" t="str">
        <f t="shared" si="6"/>
        <v>商业繁华度</v>
      </c>
      <c r="R15" s="774" t="s">
        <v>17</v>
      </c>
      <c r="S15" s="775">
        <f t="shared" si="0"/>
        <v>100</v>
      </c>
      <c r="T15" s="774" t="s">
        <v>17</v>
      </c>
      <c r="U15" s="775">
        <f t="shared" si="1"/>
        <v>100</v>
      </c>
      <c r="V15" s="774" t="s">
        <v>17</v>
      </c>
      <c r="W15" s="775">
        <f t="shared" si="2"/>
        <v>100</v>
      </c>
      <c r="X15" s="1815"/>
      <c r="Y15" s="3198"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06"/>
      <c r="Q16" s="1812"/>
      <c r="R16" s="774"/>
      <c r="S16" s="775"/>
      <c r="T16" s="774"/>
      <c r="U16" s="775"/>
      <c r="V16" s="774"/>
      <c r="W16" s="775"/>
      <c r="X16" s="1815"/>
      <c r="Y16" s="3199"/>
      <c r="Z16" s="1816"/>
      <c r="AA16" s="1813">
        <v>1</v>
      </c>
      <c r="AB16" s="1813">
        <v>1</v>
      </c>
      <c r="AC16" s="1813">
        <v>1</v>
      </c>
    </row>
    <row r="17" spans="1:29" ht="82.8">
      <c r="A17" s="428"/>
      <c r="B17" s="451" t="s">
        <v>2099</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6"/>
      <c r="Q17" s="1812" t="str">
        <f>B17</f>
        <v>交通便捷度</v>
      </c>
      <c r="R17" s="774" t="s">
        <v>17</v>
      </c>
      <c r="S17" s="775">
        <f>F17</f>
        <v>100</v>
      </c>
      <c r="T17" s="774" t="s">
        <v>17</v>
      </c>
      <c r="U17" s="775">
        <f>H17</f>
        <v>100</v>
      </c>
      <c r="V17" s="774" t="s">
        <v>17</v>
      </c>
      <c r="W17" s="775">
        <f>J17</f>
        <v>100</v>
      </c>
      <c r="X17" s="1815"/>
      <c r="Y17" s="3199"/>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3"/>
      <c r="M18" s="1134"/>
      <c r="N18" s="1134"/>
      <c r="O18" s="1134"/>
      <c r="P18" s="3206"/>
      <c r="Q18" s="1812"/>
      <c r="R18" s="774"/>
      <c r="S18" s="775"/>
      <c r="T18" s="774"/>
      <c r="U18" s="775"/>
      <c r="V18" s="774"/>
      <c r="W18" s="775"/>
      <c r="X18" s="1815"/>
      <c r="Y18" s="3199"/>
      <c r="Z18" s="1816"/>
      <c r="AA18" s="1813">
        <v>1</v>
      </c>
      <c r="AB18" s="1813">
        <v>1</v>
      </c>
      <c r="AC18" s="1813">
        <v>1</v>
      </c>
    </row>
    <row r="19" spans="1:29" ht="41.4">
      <c r="A19" s="428"/>
      <c r="B19" s="451" t="s">
        <v>2655</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6"/>
      <c r="Q19" s="1812" t="str">
        <f>B19</f>
        <v>公共配套设施</v>
      </c>
      <c r="R19" s="774" t="s">
        <v>17</v>
      </c>
      <c r="S19" s="775">
        <f>F19</f>
        <v>100</v>
      </c>
      <c r="T19" s="774" t="s">
        <v>17</v>
      </c>
      <c r="U19" s="775">
        <f>H19</f>
        <v>100</v>
      </c>
      <c r="V19" s="774" t="s">
        <v>17</v>
      </c>
      <c r="W19" s="775">
        <f>J19</f>
        <v>100</v>
      </c>
      <c r="X19" s="1815"/>
      <c r="Y19" s="3199"/>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3"/>
      <c r="M20" s="1134"/>
      <c r="N20" s="1134"/>
      <c r="O20" s="1134"/>
      <c r="P20" s="3206"/>
      <c r="Q20" s="1812"/>
      <c r="R20" s="774"/>
      <c r="S20" s="775"/>
      <c r="T20" s="774"/>
      <c r="U20" s="775"/>
      <c r="V20" s="774"/>
      <c r="W20" s="775"/>
      <c r="X20" s="1815"/>
      <c r="Y20" s="3199"/>
      <c r="Z20" s="1816"/>
      <c r="AA20" s="1813">
        <v>1</v>
      </c>
      <c r="AB20" s="1813">
        <v>1</v>
      </c>
      <c r="AC20" s="1813">
        <v>1</v>
      </c>
    </row>
    <row r="21" spans="1:29" ht="27.6">
      <c r="A21" s="428"/>
      <c r="B21" s="1387" t="s">
        <v>2656</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6"/>
      <c r="Q21" s="1812" t="str">
        <f>B21</f>
        <v>基础设施水平</v>
      </c>
      <c r="R21" s="774" t="s">
        <v>17</v>
      </c>
      <c r="S21" s="775">
        <f>F21</f>
        <v>100</v>
      </c>
      <c r="T21" s="774" t="s">
        <v>17</v>
      </c>
      <c r="U21" s="775">
        <f>H21</f>
        <v>100</v>
      </c>
      <c r="V21" s="774" t="s">
        <v>17</v>
      </c>
      <c r="W21" s="775">
        <f>J21</f>
        <v>100</v>
      </c>
      <c r="X21" s="1815"/>
      <c r="Y21" s="3199"/>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9"/>
      <c r="G22" s="447"/>
      <c r="H22" s="448"/>
      <c r="I22" s="447"/>
      <c r="J22" s="448"/>
      <c r="K22" s="1386"/>
      <c r="L22" s="1143"/>
      <c r="M22" s="1134"/>
      <c r="N22" s="1134"/>
      <c r="O22" s="1134"/>
      <c r="P22" s="3206"/>
      <c r="Q22" s="1812"/>
      <c r="R22" s="774"/>
      <c r="S22" s="775"/>
      <c r="T22" s="774"/>
      <c r="U22" s="775"/>
      <c r="V22" s="774"/>
      <c r="W22" s="775"/>
      <c r="X22" s="1815"/>
      <c r="Y22" s="3199"/>
      <c r="Z22" s="1816"/>
      <c r="AA22" s="1813">
        <v>1</v>
      </c>
      <c r="AB22" s="1813">
        <v>1</v>
      </c>
      <c r="AC22" s="1813">
        <v>1</v>
      </c>
    </row>
    <row r="23" spans="1:29" ht="55.2">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6"/>
      <c r="Q23" s="1812" t="str">
        <f>B23</f>
        <v>自然及人文环境</v>
      </c>
      <c r="R23" s="774" t="s">
        <v>17</v>
      </c>
      <c r="S23" s="775">
        <f>F23</f>
        <v>100</v>
      </c>
      <c r="T23" s="774" t="s">
        <v>17</v>
      </c>
      <c r="U23" s="775">
        <f>H23</f>
        <v>100</v>
      </c>
      <c r="V23" s="774" t="s">
        <v>17</v>
      </c>
      <c r="W23" s="775">
        <f>J23</f>
        <v>100</v>
      </c>
      <c r="X23" s="1815"/>
      <c r="Y23" s="3199"/>
      <c r="Z23" s="1816" t="str">
        <f>Q23</f>
        <v>自然及人文环境</v>
      </c>
      <c r="AA23" s="1813">
        <f t="shared" si="3"/>
        <v>1</v>
      </c>
      <c r="AB23" s="1813">
        <f t="shared" si="4"/>
        <v>1</v>
      </c>
      <c r="AC23" s="1813">
        <f t="shared" si="5"/>
        <v>1</v>
      </c>
    </row>
    <row r="24" spans="1:29" ht="15">
      <c r="A24" s="428"/>
      <c r="B24" s="456"/>
      <c r="C24" s="447"/>
      <c r="D24" s="448"/>
      <c r="E24" s="2609"/>
      <c r="F24" s="449"/>
      <c r="G24" s="2608"/>
      <c r="H24" s="448"/>
      <c r="I24" s="2609"/>
      <c r="J24" s="448"/>
      <c r="K24" s="615"/>
      <c r="L24" s="1143"/>
      <c r="M24" s="1134"/>
      <c r="N24" s="1134"/>
      <c r="O24" s="1134"/>
      <c r="P24" s="3206"/>
      <c r="Q24" s="1812"/>
      <c r="R24" s="774"/>
      <c r="S24" s="775"/>
      <c r="T24" s="774"/>
      <c r="U24" s="775"/>
      <c r="V24" s="774"/>
      <c r="W24" s="775"/>
      <c r="X24" s="1815"/>
      <c r="Y24" s="3199"/>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6"/>
      <c r="Q25" s="1812" t="str">
        <f t="shared" ref="Q25:Q46" si="11">B25</f>
        <v>临街状况</v>
      </c>
      <c r="R25" s="774" t="s">
        <v>17</v>
      </c>
      <c r="S25" s="775">
        <f>F25</f>
        <v>100</v>
      </c>
      <c r="T25" s="774" t="s">
        <v>17</v>
      </c>
      <c r="U25" s="775">
        <f>H25</f>
        <v>100</v>
      </c>
      <c r="V25" s="774" t="s">
        <v>17</v>
      </c>
      <c r="W25" s="775">
        <f>J25</f>
        <v>100</v>
      </c>
      <c r="X25" s="1815"/>
      <c r="Y25" s="3199"/>
      <c r="Z25" s="1816" t="str">
        <f>Q25</f>
        <v>临街状况</v>
      </c>
      <c r="AA25" s="1813">
        <f t="shared" si="3"/>
        <v>1</v>
      </c>
      <c r="AB25" s="1813">
        <f t="shared" si="4"/>
        <v>1</v>
      </c>
      <c r="AC25" s="1813">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6"/>
      <c r="Q26" s="1812" t="str">
        <f t="shared" si="11"/>
        <v>平面位置/可视性</v>
      </c>
      <c r="R26" s="774" t="s">
        <v>17</v>
      </c>
      <c r="S26" s="775">
        <f>F26</f>
        <v>100</v>
      </c>
      <c r="T26" s="774" t="s">
        <v>17</v>
      </c>
      <c r="U26" s="775">
        <f>H26</f>
        <v>100</v>
      </c>
      <c r="V26" s="774" t="s">
        <v>17</v>
      </c>
      <c r="W26" s="775">
        <f>J26</f>
        <v>100</v>
      </c>
      <c r="X26" s="1815"/>
      <c r="Y26" s="3199"/>
      <c r="Z26" s="1816" t="str">
        <f>Q26</f>
        <v>平面位置/可视性</v>
      </c>
      <c r="AA26" s="1813">
        <f t="shared" si="3"/>
        <v>1</v>
      </c>
      <c r="AB26" s="1813">
        <f t="shared" si="4"/>
        <v>1</v>
      </c>
      <c r="AC26" s="1813">
        <f t="shared" si="5"/>
        <v>1</v>
      </c>
    </row>
    <row r="27" spans="1:29" s="117" customFormat="1" ht="15">
      <c r="A27" s="431"/>
      <c r="B27" s="451" t="s">
        <v>2659</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06"/>
      <c r="Q27" s="1797" t="str">
        <f t="shared" si="11"/>
        <v>人流量</v>
      </c>
      <c r="R27" s="770" t="s">
        <v>17</v>
      </c>
      <c r="S27" s="771">
        <f>F27</f>
        <v>100</v>
      </c>
      <c r="T27" s="770" t="s">
        <v>17</v>
      </c>
      <c r="U27" s="771">
        <f>H27</f>
        <v>100</v>
      </c>
      <c r="V27" s="770" t="s">
        <v>17</v>
      </c>
      <c r="W27" s="771">
        <f>J27</f>
        <v>100</v>
      </c>
      <c r="X27" s="772"/>
      <c r="Y27" s="3199"/>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9"/>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6"/>
      <c r="Q29" s="1812">
        <f t="shared" si="11"/>
        <v>111</v>
      </c>
      <c r="R29" s="774" t="s">
        <v>17</v>
      </c>
      <c r="S29" s="775">
        <f t="shared" si="12"/>
        <v>100</v>
      </c>
      <c r="T29" s="774" t="s">
        <v>17</v>
      </c>
      <c r="U29" s="775">
        <f t="shared" si="13"/>
        <v>100</v>
      </c>
      <c r="V29" s="774" t="s">
        <v>17</v>
      </c>
      <c r="W29" s="775">
        <f t="shared" si="14"/>
        <v>100</v>
      </c>
      <c r="X29" s="1815"/>
      <c r="Y29" s="3199"/>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6"/>
      <c r="Q30" s="1812">
        <f t="shared" si="11"/>
        <v>111</v>
      </c>
      <c r="R30" s="774" t="s">
        <v>17</v>
      </c>
      <c r="S30" s="775">
        <f t="shared" si="12"/>
        <v>100</v>
      </c>
      <c r="T30" s="774" t="s">
        <v>17</v>
      </c>
      <c r="U30" s="775">
        <f t="shared" si="13"/>
        <v>100</v>
      </c>
      <c r="V30" s="774" t="s">
        <v>17</v>
      </c>
      <c r="W30" s="775">
        <f t="shared" si="14"/>
        <v>100</v>
      </c>
      <c r="X30" s="1815"/>
      <c r="Y30" s="3199"/>
      <c r="Z30" s="1816">
        <f t="shared" si="15"/>
        <v>111</v>
      </c>
      <c r="AA30" s="1813">
        <f t="shared" si="3"/>
        <v>1</v>
      </c>
      <c r="AB30" s="1813">
        <f t="shared" si="4"/>
        <v>1</v>
      </c>
      <c r="AC30" s="1813">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6"/>
      <c r="Q31" s="1812">
        <f t="shared" si="11"/>
        <v>111</v>
      </c>
      <c r="R31" s="774" t="s">
        <v>17</v>
      </c>
      <c r="S31" s="775">
        <f t="shared" si="12"/>
        <v>100</v>
      </c>
      <c r="T31" s="774" t="s">
        <v>17</v>
      </c>
      <c r="U31" s="775">
        <f t="shared" si="13"/>
        <v>100</v>
      </c>
      <c r="V31" s="774" t="s">
        <v>17</v>
      </c>
      <c r="W31" s="775">
        <f t="shared" si="14"/>
        <v>100</v>
      </c>
      <c r="X31" s="1815"/>
      <c r="Y31" s="3199"/>
      <c r="Z31" s="1816">
        <f t="shared" si="15"/>
        <v>111</v>
      </c>
      <c r="AA31" s="1813">
        <f t="shared" si="3"/>
        <v>1</v>
      </c>
      <c r="AB31" s="1813">
        <f t="shared" si="4"/>
        <v>1</v>
      </c>
      <c r="AC31" s="1813">
        <f t="shared" si="5"/>
        <v>1</v>
      </c>
    </row>
    <row r="32" spans="1:29" ht="15">
      <c r="A32" s="440" t="s">
        <v>2564</v>
      </c>
      <c r="B32" s="71" t="s">
        <v>2661</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00" t="s">
        <v>2566</v>
      </c>
      <c r="Q32" s="1812" t="str">
        <f t="shared" si="11"/>
        <v>商业类型</v>
      </c>
      <c r="R32" s="774" t="s">
        <v>17</v>
      </c>
      <c r="S32" s="775">
        <f t="shared" si="12"/>
        <v>100</v>
      </c>
      <c r="T32" s="774" t="s">
        <v>17</v>
      </c>
      <c r="U32" s="775">
        <f t="shared" si="13"/>
        <v>100</v>
      </c>
      <c r="V32" s="774" t="s">
        <v>17</v>
      </c>
      <c r="W32" s="775">
        <f t="shared" si="14"/>
        <v>100</v>
      </c>
      <c r="X32" s="1815"/>
      <c r="Y32" s="3203"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1"/>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3" t="e">
        <f t="shared" si="3"/>
        <v>#N/A</v>
      </c>
      <c r="AB33" s="1813" t="e">
        <f t="shared" si="4"/>
        <v>#N/A</v>
      </c>
      <c r="AC33" s="1813" t="e">
        <f t="shared" si="5"/>
        <v>#N/A</v>
      </c>
    </row>
    <row r="34" spans="1:29" ht="15">
      <c r="A34" s="472"/>
      <c r="B34" s="422" t="s">
        <v>2568</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01"/>
      <c r="Q34" s="1812" t="str">
        <f t="shared" si="11"/>
        <v>建筑结构</v>
      </c>
      <c r="R34" s="774" t="s">
        <v>17</v>
      </c>
      <c r="S34" s="775">
        <f t="shared" si="12"/>
        <v>100</v>
      </c>
      <c r="T34" s="774" t="s">
        <v>17</v>
      </c>
      <c r="U34" s="775">
        <f t="shared" si="13"/>
        <v>100</v>
      </c>
      <c r="V34" s="774" t="s">
        <v>17</v>
      </c>
      <c r="W34" s="775">
        <f t="shared" si="14"/>
        <v>100</v>
      </c>
      <c r="X34" s="1815"/>
      <c r="Y34" s="3203"/>
      <c r="Z34" s="1816" t="str">
        <f t="shared" si="15"/>
        <v>建筑结构</v>
      </c>
      <c r="AA34" s="1813">
        <f t="shared" si="3"/>
        <v>1</v>
      </c>
      <c r="AB34" s="1813">
        <f t="shared" si="4"/>
        <v>1</v>
      </c>
      <c r="AC34" s="1813">
        <f t="shared" si="5"/>
        <v>1</v>
      </c>
    </row>
    <row r="35" spans="1:29" ht="15">
      <c r="A35" s="472"/>
      <c r="B35" s="422" t="s">
        <v>2662</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01"/>
      <c r="Q35" s="1812" t="str">
        <f t="shared" si="11"/>
        <v>公共部分装修</v>
      </c>
      <c r="R35" s="774" t="s">
        <v>17</v>
      </c>
      <c r="S35" s="775">
        <f t="shared" si="12"/>
        <v>100</v>
      </c>
      <c r="T35" s="774" t="s">
        <v>17</v>
      </c>
      <c r="U35" s="775">
        <f t="shared" si="13"/>
        <v>100</v>
      </c>
      <c r="V35" s="774" t="s">
        <v>17</v>
      </c>
      <c r="W35" s="775">
        <f t="shared" si="14"/>
        <v>100</v>
      </c>
      <c r="X35" s="1815"/>
      <c r="Y35" s="3203"/>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1"/>
      <c r="Q36" s="1812" t="str">
        <f t="shared" si="11"/>
        <v>成新度</v>
      </c>
      <c r="R36" s="774" t="s">
        <v>17</v>
      </c>
      <c r="S36" s="775" t="e">
        <f t="shared" si="12"/>
        <v>#N/A</v>
      </c>
      <c r="T36" s="774" t="s">
        <v>17</v>
      </c>
      <c r="U36" s="775" t="e">
        <f t="shared" si="13"/>
        <v>#N/A</v>
      </c>
      <c r="V36" s="774" t="s">
        <v>17</v>
      </c>
      <c r="W36" s="775" t="e">
        <f t="shared" si="14"/>
        <v>#N/A</v>
      </c>
      <c r="X36" s="1815"/>
      <c r="Y36" s="3203"/>
      <c r="Z36" s="1816" t="str">
        <f t="shared" si="15"/>
        <v>成新度</v>
      </c>
      <c r="AA36" s="1813" t="e">
        <f t="shared" si="3"/>
        <v>#N/A</v>
      </c>
      <c r="AB36" s="1813" t="e">
        <f t="shared" si="4"/>
        <v>#N/A</v>
      </c>
      <c r="AC36" s="1813" t="e">
        <f t="shared" si="5"/>
        <v>#N/A</v>
      </c>
    </row>
    <row r="37" spans="1:29" s="117" customFormat="1" ht="15">
      <c r="A37" s="473"/>
      <c r="B37" s="422" t="s">
        <v>2664</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01"/>
      <c r="Q37" s="1797"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2665</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01" t="s">
        <v>2566</v>
      </c>
      <c r="Q38" s="1812" t="str">
        <f t="shared" si="11"/>
        <v>业态</v>
      </c>
      <c r="R38" s="774" t="s">
        <v>17</v>
      </c>
      <c r="S38" s="775">
        <f t="shared" si="12"/>
        <v>100</v>
      </c>
      <c r="T38" s="774" t="s">
        <v>17</v>
      </c>
      <c r="U38" s="775">
        <f t="shared" si="13"/>
        <v>100</v>
      </c>
      <c r="V38" s="774" t="s">
        <v>17</v>
      </c>
      <c r="W38" s="775">
        <f t="shared" si="14"/>
        <v>100</v>
      </c>
      <c r="X38" s="1815"/>
      <c r="Y38" s="3203" t="s">
        <v>2566</v>
      </c>
      <c r="Z38" s="1816" t="str">
        <f t="shared" si="15"/>
        <v>业态</v>
      </c>
      <c r="AA38" s="1813">
        <f t="shared" si="3"/>
        <v>1</v>
      </c>
      <c r="AB38" s="1813">
        <f t="shared" si="4"/>
        <v>1</v>
      </c>
      <c r="AC38" s="1813">
        <f t="shared" si="5"/>
        <v>1</v>
      </c>
    </row>
    <row r="39" spans="1:29" ht="15">
      <c r="A39" s="472"/>
      <c r="B39" s="422" t="s">
        <v>2666</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01"/>
      <c r="Q39" s="1812" t="str">
        <f t="shared" si="11"/>
        <v>层高</v>
      </c>
      <c r="R39" s="774" t="s">
        <v>17</v>
      </c>
      <c r="S39" s="775">
        <f t="shared" si="12"/>
        <v>100</v>
      </c>
      <c r="T39" s="774" t="s">
        <v>17</v>
      </c>
      <c r="U39" s="775">
        <f t="shared" si="13"/>
        <v>100</v>
      </c>
      <c r="V39" s="774" t="s">
        <v>17</v>
      </c>
      <c r="W39" s="775">
        <f t="shared" si="14"/>
        <v>100</v>
      </c>
      <c r="X39" s="1815"/>
      <c r="Y39" s="3203"/>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1"/>
      <c r="Q40" s="1812" t="str">
        <f t="shared" si="11"/>
        <v>单套建筑面积</v>
      </c>
      <c r="R40" s="774" t="s">
        <v>17</v>
      </c>
      <c r="S40" s="775">
        <f t="shared" si="12"/>
        <v>100</v>
      </c>
      <c r="T40" s="774" t="s">
        <v>17</v>
      </c>
      <c r="U40" s="775">
        <f t="shared" si="13"/>
        <v>100</v>
      </c>
      <c r="V40" s="774" t="s">
        <v>17</v>
      </c>
      <c r="W40" s="775">
        <f t="shared" si="14"/>
        <v>100</v>
      </c>
      <c r="X40" s="1815"/>
      <c r="Y40" s="3203"/>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1"/>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3">
        <f t="shared" si="3"/>
        <v>1</v>
      </c>
      <c r="AB41" s="1813">
        <f t="shared" si="4"/>
        <v>1</v>
      </c>
      <c r="AC41" s="1813">
        <f t="shared" si="5"/>
        <v>1</v>
      </c>
    </row>
    <row r="42" spans="1:29" ht="15">
      <c r="A42" s="472"/>
      <c r="B42" s="422" t="s">
        <v>2669</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01"/>
      <c r="Q42" s="1812" t="str">
        <f t="shared" si="11"/>
        <v>内部装修</v>
      </c>
      <c r="R42" s="774" t="s">
        <v>17</v>
      </c>
      <c r="S42" s="775">
        <f t="shared" si="12"/>
        <v>100</v>
      </c>
      <c r="T42" s="774" t="s">
        <v>17</v>
      </c>
      <c r="U42" s="775">
        <f t="shared" si="13"/>
        <v>100</v>
      </c>
      <c r="V42" s="774" t="s">
        <v>17</v>
      </c>
      <c r="W42" s="775">
        <f t="shared" si="14"/>
        <v>100</v>
      </c>
      <c r="X42" s="1815"/>
      <c r="Y42" s="3203"/>
      <c r="Z42" s="1816" t="str">
        <f t="shared" si="15"/>
        <v>内部装修</v>
      </c>
      <c r="AA42" s="1813">
        <f t="shared" si="3"/>
        <v>1</v>
      </c>
      <c r="AB42" s="1813">
        <f t="shared" si="4"/>
        <v>1</v>
      </c>
      <c r="AC42" s="1813">
        <f t="shared" si="5"/>
        <v>1</v>
      </c>
    </row>
    <row r="43" spans="1:29" ht="28.8">
      <c r="A43" s="472"/>
      <c r="B43" s="422" t="s">
        <v>2577</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01"/>
      <c r="Q43" s="1812" t="str">
        <f t="shared" si="11"/>
        <v>内部装修维护情况</v>
      </c>
      <c r="R43" s="774" t="s">
        <v>17</v>
      </c>
      <c r="S43" s="775">
        <f t="shared" si="12"/>
        <v>100</v>
      </c>
      <c r="T43" s="774" t="s">
        <v>17</v>
      </c>
      <c r="U43" s="775">
        <f t="shared" si="13"/>
        <v>100</v>
      </c>
      <c r="V43" s="774" t="s">
        <v>17</v>
      </c>
      <c r="W43" s="775">
        <f t="shared" si="14"/>
        <v>100</v>
      </c>
      <c r="X43" s="1815"/>
      <c r="Y43" s="3203"/>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1"/>
      <c r="Q44" s="1797">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1"/>
      <c r="Q45" s="1812">
        <f t="shared" si="11"/>
        <v>111</v>
      </c>
      <c r="R45" s="774" t="s">
        <v>17</v>
      </c>
      <c r="S45" s="775">
        <f t="shared" si="12"/>
        <v>100</v>
      </c>
      <c r="T45" s="774" t="s">
        <v>17</v>
      </c>
      <c r="U45" s="775">
        <f t="shared" si="13"/>
        <v>100</v>
      </c>
      <c r="V45" s="774" t="s">
        <v>17</v>
      </c>
      <c r="W45" s="775">
        <f t="shared" si="14"/>
        <v>100</v>
      </c>
      <c r="X45" s="1815"/>
      <c r="Y45" s="3203"/>
      <c r="Z45" s="1816">
        <f t="shared" si="15"/>
        <v>111</v>
      </c>
      <c r="AA45" s="1813">
        <f t="shared" si="3"/>
        <v>1</v>
      </c>
      <c r="AB45" s="1813">
        <f t="shared" si="4"/>
        <v>1</v>
      </c>
      <c r="AC45" s="1813">
        <f t="shared" si="5"/>
        <v>1</v>
      </c>
    </row>
    <row r="46" spans="1:29" ht="15.6"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2"/>
      <c r="Q46" s="1812">
        <f t="shared" si="11"/>
        <v>111</v>
      </c>
      <c r="R46" s="774" t="s">
        <v>17</v>
      </c>
      <c r="S46" s="775">
        <f t="shared" si="12"/>
        <v>100</v>
      </c>
      <c r="T46" s="774" t="s">
        <v>17</v>
      </c>
      <c r="U46" s="775">
        <f t="shared" si="13"/>
        <v>100</v>
      </c>
      <c r="V46" s="774" t="s">
        <v>17</v>
      </c>
      <c r="W46" s="775">
        <f t="shared" si="14"/>
        <v>100</v>
      </c>
      <c r="X46" s="1815"/>
      <c r="Y46" s="3204"/>
      <c r="Z46" s="1816">
        <f t="shared" si="15"/>
        <v>111</v>
      </c>
      <c r="AA46" s="1813">
        <f t="shared" si="3"/>
        <v>1</v>
      </c>
      <c r="AB46" s="1813">
        <f t="shared" si="4"/>
        <v>1</v>
      </c>
      <c r="AC46" s="1813">
        <f t="shared" si="5"/>
        <v>1</v>
      </c>
    </row>
    <row r="47" spans="1:29" ht="14.4">
      <c r="A47" s="479" t="s">
        <v>2578</v>
      </c>
      <c r="B47" s="480"/>
      <c r="C47" s="1409" t="s">
        <v>1</v>
      </c>
      <c r="D47" s="1410"/>
      <c r="E47" s="1411"/>
      <c r="F47" s="1412"/>
      <c r="G47" s="1413"/>
      <c r="H47" s="1414"/>
      <c r="I47" s="1411"/>
      <c r="J47" s="1414"/>
      <c r="K47" s="783"/>
      <c r="L47" s="1146"/>
      <c r="M47" s="1147"/>
      <c r="N47" s="1134"/>
      <c r="O47" s="1147"/>
      <c r="P47" s="3196" t="str">
        <f>A47</f>
        <v>成交单价（元/平方米）</v>
      </c>
      <c r="Q47" s="3196"/>
      <c r="R47" s="3191">
        <f>E47</f>
        <v>0</v>
      </c>
      <c r="S47" s="3191"/>
      <c r="T47" s="3191">
        <f>G47</f>
        <v>0</v>
      </c>
      <c r="U47" s="3191"/>
      <c r="V47" s="3191">
        <f>I47</f>
        <v>0</v>
      </c>
      <c r="W47" s="3191"/>
      <c r="X47" s="759"/>
      <c r="Y47" s="781"/>
      <c r="Z47" s="759"/>
      <c r="AA47" s="759"/>
      <c r="AB47" s="759"/>
      <c r="AC47" s="759"/>
    </row>
    <row r="48" spans="1:29" ht="1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 thickBot="1">
      <c r="A49" s="492" t="s">
        <v>2671</v>
      </c>
      <c r="B49" s="493"/>
      <c r="C49" s="1419" t="e">
        <f>R49</f>
        <v>#DIV/0!</v>
      </c>
      <c r="D49" s="1419"/>
      <c r="E49" s="1419"/>
      <c r="F49" s="1419"/>
      <c r="G49" s="1419"/>
      <c r="H49" s="1419"/>
      <c r="I49" s="1419"/>
      <c r="J49" s="1419"/>
      <c r="K49" s="785"/>
      <c r="L49" s="1146"/>
      <c r="M49" s="1147"/>
      <c r="N49" s="1134"/>
      <c r="O49" s="1147"/>
      <c r="P49" s="3193" t="str">
        <f>A49</f>
        <v>估价对象XX用房的比较价值（楼面单价，元/平方米）</v>
      </c>
      <c r="Q49" s="3194"/>
      <c r="R49" s="3195" t="e">
        <f>IF(F1="售价",ROUND(AVERAGE(R48:V48),0),ROUND(AVERAGE(R48:V48),1))</f>
        <v>#DIV/0!</v>
      </c>
      <c r="S49" s="3195"/>
      <c r="T49" s="3195"/>
      <c r="U49" s="3195"/>
      <c r="V49" s="3195"/>
      <c r="W49" s="319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2675</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4.4">
      <c r="A58" s="505" t="s">
        <v>2549</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c r="A59" s="509"/>
      <c r="B59" s="510"/>
      <c r="C59" s="1575">
        <v>100</v>
      </c>
      <c r="D59" s="512"/>
      <c r="E59" s="512"/>
      <c r="F59" s="512"/>
      <c r="G59" s="512"/>
      <c r="H59" s="512"/>
      <c r="I59" s="512"/>
      <c r="J59" s="512"/>
      <c r="K59" s="512"/>
      <c r="L59" s="512"/>
      <c r="M59" s="513"/>
      <c r="N59" s="512"/>
      <c r="O59" s="513"/>
      <c r="P59" s="2632"/>
    </row>
    <row r="60" spans="1:29" s="117" customFormat="1" ht="15" thickBot="1">
      <c r="A60" s="515" t="s">
        <v>2586</v>
      </c>
      <c r="B60" s="516"/>
      <c r="C60" s="517"/>
      <c r="D60" s="518"/>
      <c r="E60" s="518"/>
      <c r="F60" s="518"/>
      <c r="G60" s="518"/>
      <c r="H60" s="518"/>
      <c r="I60" s="518"/>
      <c r="J60" s="518"/>
      <c r="K60" s="518"/>
      <c r="L60" s="518"/>
      <c r="M60" s="519"/>
      <c r="N60" s="518"/>
      <c r="O60" s="519"/>
      <c r="P60" s="2632"/>
      <c r="Q60" s="504"/>
    </row>
    <row r="61" spans="1:29" s="117" customFormat="1" ht="14.4">
      <c r="A61" s="521" t="s">
        <v>2551</v>
      </c>
      <c r="B61" s="510"/>
      <c r="C61" s="522" t="s">
        <v>2653</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2589</v>
      </c>
      <c r="B63" s="528" t="s">
        <v>2555</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36"/>
      <c r="E73" s="536"/>
      <c r="F73" s="536"/>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2656</v>
      </c>
      <c r="C82" s="660" t="s">
        <v>2676</v>
      </c>
      <c r="D82" s="660" t="s">
        <v>2677</v>
      </c>
      <c r="E82" s="660" t="s">
        <v>2678</v>
      </c>
      <c r="F82" s="660" t="s">
        <v>2679</v>
      </c>
      <c r="G82" s="660" t="s">
        <v>2680</v>
      </c>
      <c r="H82" s="539"/>
      <c r="I82" s="539"/>
      <c r="J82" s="539"/>
      <c r="K82" s="539"/>
      <c r="L82" s="539"/>
      <c r="M82" s="1385"/>
      <c r="N82" s="1156"/>
      <c r="O82" s="1156"/>
      <c r="P82" s="263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2681</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4.4"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4.4" thickBot="1">
      <c r="A89" s="579"/>
      <c r="B89" s="543"/>
      <c r="C89" s="560"/>
      <c r="D89" s="536"/>
      <c r="E89" s="536"/>
      <c r="F89" s="536"/>
      <c r="G89" s="536"/>
      <c r="H89" s="536"/>
      <c r="I89" s="536"/>
      <c r="J89" s="536"/>
      <c r="K89" s="536"/>
      <c r="L89" s="536"/>
      <c r="M89" s="536"/>
      <c r="N89" s="1156"/>
      <c r="O89" s="1156"/>
      <c r="P89" s="2634"/>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4.4" thickTop="1">
      <c r="A92" s="534"/>
      <c r="B92" s="538" t="str">
        <f>B28</f>
        <v>楼层</v>
      </c>
      <c r="C92" s="554"/>
      <c r="D92" s="554"/>
      <c r="E92" s="554"/>
      <c r="F92" s="554"/>
      <c r="G92" s="554"/>
      <c r="H92" s="554"/>
      <c r="I92" s="554"/>
      <c r="J92" s="554"/>
      <c r="K92" s="554"/>
      <c r="L92" s="580"/>
      <c r="M92" s="581"/>
      <c r="N92" s="1155"/>
      <c r="O92" s="1155"/>
      <c r="P92" s="2634"/>
      <c r="Q92" s="504"/>
    </row>
    <row r="93" spans="1:17" ht="14.4" thickBot="1">
      <c r="A93" s="534"/>
      <c r="B93" s="543"/>
      <c r="C93" s="536"/>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36"/>
      <c r="E95" s="536"/>
      <c r="F95" s="536"/>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60"/>
      <c r="D97" s="536"/>
      <c r="E97" s="536"/>
      <c r="F97" s="536"/>
      <c r="G97" s="536"/>
      <c r="H97" s="536"/>
      <c r="I97" s="536"/>
      <c r="J97" s="536"/>
      <c r="K97" s="536"/>
      <c r="L97" s="536"/>
      <c r="M97" s="537"/>
      <c r="N97" s="1156"/>
      <c r="O97" s="1156"/>
      <c r="P97" s="2634"/>
      <c r="Q97" s="504"/>
    </row>
    <row r="98" spans="1:17" ht="14.4" thickTop="1">
      <c r="A98" s="534"/>
      <c r="B98" s="546">
        <f>B31</f>
        <v>111</v>
      </c>
      <c r="C98" s="554"/>
      <c r="D98" s="554"/>
      <c r="E98" s="554"/>
      <c r="F98" s="554"/>
      <c r="G98" s="587"/>
      <c r="H98" s="587"/>
      <c r="I98" s="587"/>
      <c r="J98" s="587"/>
      <c r="K98" s="588"/>
      <c r="L98" s="589"/>
      <c r="M98" s="590"/>
      <c r="N98" s="1155"/>
      <c r="O98" s="1155"/>
      <c r="P98" s="2634"/>
      <c r="Q98" s="504"/>
    </row>
    <row r="99" spans="1:17" ht="14.4" thickBot="1">
      <c r="A99" s="2640"/>
      <c r="B99" s="569"/>
      <c r="C99" s="570"/>
      <c r="D99" s="570"/>
      <c r="E99" s="570"/>
      <c r="F99" s="570"/>
      <c r="G99" s="591"/>
      <c r="H99" s="591"/>
      <c r="I99" s="591"/>
      <c r="J99" s="591"/>
      <c r="K99" s="591"/>
      <c r="L99" s="591"/>
      <c r="M99" s="592"/>
      <c r="N99" s="1156"/>
      <c r="O99" s="1156"/>
      <c r="P99" s="2634"/>
      <c r="Q99" s="504"/>
    </row>
    <row r="100" spans="1:17" ht="14.4">
      <c r="A100" s="527" t="s">
        <v>2564</v>
      </c>
      <c r="B100" s="528" t="s">
        <v>2682</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2615</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2617</v>
      </c>
      <c r="C107" s="554"/>
      <c r="D107" s="554"/>
      <c r="E107" s="554"/>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2683</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2684</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2685</v>
      </c>
      <c r="C118" s="627"/>
      <c r="D118" s="627"/>
      <c r="E118" s="627"/>
      <c r="F118" s="627"/>
      <c r="G118" s="627"/>
      <c r="H118" s="555"/>
      <c r="I118" s="555"/>
      <c r="J118" s="555"/>
      <c r="K118" s="555"/>
      <c r="L118" s="556"/>
      <c r="M118" s="557"/>
      <c r="N118" s="1155"/>
      <c r="O118" s="1155"/>
      <c r="P118" s="2634"/>
      <c r="Q118" s="504"/>
    </row>
    <row r="119" spans="1:17" ht="14.4"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2621</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36"/>
      <c r="E129" s="536"/>
      <c r="F129" s="536"/>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2529</v>
      </c>
      <c r="B1" s="2673" t="s">
        <v>2687</v>
      </c>
      <c r="C1" s="1622" t="s">
        <v>2531</v>
      </c>
      <c r="D1" s="1623"/>
      <c r="E1" s="1632"/>
      <c r="F1" s="2588"/>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IF(C2="——",ROUND(C50*D3/10000,0),ROUND(C50*D3/10000,0)-D2)</f>
        <v>#DIV/0!</v>
      </c>
      <c r="C2" s="2590"/>
      <c r="D2" s="1368" t="e">
        <f ca="1">SUMIF(INDIRECT("'"&amp;F2&amp;"'"&amp;"!A:A"),"承租人权益价值",INDIRECT("'"&amp;F2&amp;"'"&amp;"!c:c"))</f>
        <v>#REF!</v>
      </c>
      <c r="E2" s="2591" t="s">
        <v>2329</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7727.4000000000015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2646</v>
      </c>
      <c r="B4" s="402"/>
      <c r="C4" s="3179" t="s">
        <v>2647</v>
      </c>
      <c r="D4" s="3180"/>
      <c r="E4" s="3181" t="s">
        <v>2648</v>
      </c>
      <c r="F4" s="3182"/>
      <c r="G4" s="3179" t="s">
        <v>2649</v>
      </c>
      <c r="H4" s="3180"/>
      <c r="I4" s="3179" t="s">
        <v>2650</v>
      </c>
      <c r="J4" s="3180"/>
      <c r="K4" s="610" t="s">
        <v>2651</v>
      </c>
      <c r="L4" s="1133"/>
      <c r="M4" s="1134"/>
      <c r="N4" s="1134"/>
      <c r="O4" s="1134"/>
      <c r="P4" s="3213" t="s">
        <v>2652</v>
      </c>
      <c r="Q4" s="3214"/>
      <c r="R4" s="3208" t="s">
        <v>2648</v>
      </c>
      <c r="S4" s="3209"/>
      <c r="T4" s="3208" t="s">
        <v>2649</v>
      </c>
      <c r="U4" s="3209"/>
      <c r="V4" s="3217" t="s">
        <v>2650</v>
      </c>
      <c r="W4" s="3217"/>
      <c r="X4" s="2674"/>
      <c r="Y4" s="3208" t="s">
        <v>2652</v>
      </c>
      <c r="Z4" s="3209"/>
      <c r="AA4" s="3207" t="s">
        <v>2648</v>
      </c>
      <c r="AB4" s="3207" t="s">
        <v>2649</v>
      </c>
      <c r="AC4" s="3210" t="s">
        <v>2650</v>
      </c>
    </row>
    <row r="5" spans="1:29">
      <c r="A5" s="404"/>
      <c r="B5" s="405"/>
      <c r="C5" s="3172" t="s">
        <v>2543</v>
      </c>
      <c r="D5" s="3173"/>
      <c r="E5" s="3170" t="s">
        <v>2544</v>
      </c>
      <c r="F5" s="3171"/>
      <c r="G5" s="3172" t="s">
        <v>2545</v>
      </c>
      <c r="H5" s="3173"/>
      <c r="I5" s="3172" t="s">
        <v>2546</v>
      </c>
      <c r="J5" s="3173"/>
      <c r="K5" s="610"/>
      <c r="L5" s="1133"/>
      <c r="M5" s="1134"/>
      <c r="N5" s="1134"/>
      <c r="O5" s="1134"/>
      <c r="P5" s="3215"/>
      <c r="Q5" s="3186"/>
      <c r="R5" s="3168"/>
      <c r="S5" s="3169"/>
      <c r="T5" s="3168"/>
      <c r="U5" s="3169"/>
      <c r="V5" s="3191"/>
      <c r="W5" s="3191"/>
      <c r="X5" s="1815"/>
      <c r="Y5" s="3168"/>
      <c r="Z5" s="3169"/>
      <c r="AA5" s="3162"/>
      <c r="AB5" s="3162"/>
      <c r="AC5" s="3211"/>
    </row>
    <row r="6" spans="1:29" ht="15" thickBot="1">
      <c r="A6" s="406"/>
      <c r="B6" s="407"/>
      <c r="C6" s="3174" t="s">
        <v>2547</v>
      </c>
      <c r="D6" s="3175"/>
      <c r="E6" s="3176" t="s">
        <v>2547</v>
      </c>
      <c r="F6" s="3177"/>
      <c r="G6" s="3174" t="s">
        <v>2547</v>
      </c>
      <c r="H6" s="3175"/>
      <c r="I6" s="3174" t="s">
        <v>2547</v>
      </c>
      <c r="J6" s="3175"/>
      <c r="K6" s="610" t="s">
        <v>2548</v>
      </c>
      <c r="L6" s="1133"/>
      <c r="M6" s="1134"/>
      <c r="N6" s="1134"/>
      <c r="O6" s="1134"/>
      <c r="P6" s="3216"/>
      <c r="Q6" s="3188"/>
      <c r="R6" s="3168"/>
      <c r="S6" s="3169"/>
      <c r="T6" s="3189"/>
      <c r="U6" s="3190"/>
      <c r="V6" s="3191"/>
      <c r="W6" s="3191"/>
      <c r="X6" s="1815"/>
      <c r="Y6" s="3189"/>
      <c r="Z6" s="3190"/>
      <c r="AA6" s="3163"/>
      <c r="AB6" s="3163"/>
      <c r="AC6" s="3212"/>
    </row>
    <row r="7" spans="1:29" s="117" customFormat="1" ht="15" thickBot="1">
      <c r="A7" s="408" t="s">
        <v>2549</v>
      </c>
      <c r="B7" s="409"/>
      <c r="C7" s="410">
        <f>'数据-取费表'!B2</f>
        <v>43269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8" t="s">
        <v>2550</v>
      </c>
      <c r="Q7" s="3192"/>
      <c r="R7" s="770" t="s">
        <v>17</v>
      </c>
      <c r="S7" s="771">
        <f t="shared" ref="S7:S15" si="0">F7</f>
        <v>0</v>
      </c>
      <c r="T7" s="770" t="s">
        <v>17</v>
      </c>
      <c r="U7" s="771">
        <f t="shared" ref="U7:U15" si="1">H7</f>
        <v>0</v>
      </c>
      <c r="V7" s="770" t="s">
        <v>17</v>
      </c>
      <c r="W7" s="771">
        <f t="shared" ref="W7:W15" si="2">J7</f>
        <v>0</v>
      </c>
      <c r="X7" s="772"/>
      <c r="Y7" s="3164" t="s">
        <v>2550</v>
      </c>
      <c r="Z7" s="3165"/>
      <c r="AA7" s="773" t="e">
        <f>D7/F7</f>
        <v>#DIV/0!</v>
      </c>
      <c r="AB7" s="773" t="e">
        <f>D7/H7</f>
        <v>#DIV/0!</v>
      </c>
      <c r="AC7" s="2675" t="e">
        <f>D7/J7</f>
        <v>#DIV/0!</v>
      </c>
    </row>
    <row r="8" spans="1:29" s="117" customFormat="1" ht="1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8" t="s">
        <v>2553</v>
      </c>
      <c r="Q8" s="3165"/>
      <c r="R8" s="770" t="s">
        <v>17</v>
      </c>
      <c r="S8" s="771">
        <f t="shared" si="0"/>
        <v>0</v>
      </c>
      <c r="T8" s="770" t="s">
        <v>17</v>
      </c>
      <c r="U8" s="771">
        <f t="shared" si="1"/>
        <v>0</v>
      </c>
      <c r="V8" s="770" t="s">
        <v>17</v>
      </c>
      <c r="W8" s="771">
        <f t="shared" si="2"/>
        <v>0</v>
      </c>
      <c r="X8" s="772"/>
      <c r="Y8" s="3164" t="s">
        <v>2553</v>
      </c>
      <c r="Z8" s="3165"/>
      <c r="AA8" s="773" t="e">
        <f t="shared" ref="AA8:AA47" si="3">D8/F8</f>
        <v>#DIV/0!</v>
      </c>
      <c r="AB8" s="773" t="e">
        <f t="shared" ref="AB8:AB47" si="4">D8/H8</f>
        <v>#DIV/0!</v>
      </c>
      <c r="AC8" s="2675" t="e">
        <f t="shared" ref="AC8:AC47" si="5">D8/J8</f>
        <v>#DIV/0!</v>
      </c>
    </row>
    <row r="9" spans="1:29" s="117" customFormat="1" ht="14.4">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8" t="s">
        <v>2556</v>
      </c>
      <c r="Q9" s="1797" t="str">
        <f t="shared" ref="Q9:Q15" si="6">B9</f>
        <v>用途</v>
      </c>
      <c r="R9" s="770" t="s">
        <v>17</v>
      </c>
      <c r="S9" s="771">
        <f t="shared" si="0"/>
        <v>100</v>
      </c>
      <c r="T9" s="770" t="s">
        <v>17</v>
      </c>
      <c r="U9" s="771">
        <f t="shared" si="1"/>
        <v>100</v>
      </c>
      <c r="V9" s="770" t="s">
        <v>17</v>
      </c>
      <c r="W9" s="771">
        <f t="shared" si="2"/>
        <v>100</v>
      </c>
      <c r="X9" s="772"/>
      <c r="Y9" s="3011" t="s">
        <v>2557</v>
      </c>
      <c r="Z9" s="55" t="str">
        <f t="shared" ref="Z9:Z15" si="7">Q9</f>
        <v>用途</v>
      </c>
      <c r="AA9" s="773">
        <f t="shared" si="3"/>
        <v>1</v>
      </c>
      <c r="AB9" s="773">
        <f t="shared" si="4"/>
        <v>1</v>
      </c>
      <c r="AC9" s="2675">
        <f t="shared" si="5"/>
        <v>1</v>
      </c>
    </row>
    <row r="10" spans="1:29" s="427" customFormat="1" ht="28.8">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8"/>
      <c r="Q10" s="179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2675">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8"/>
      <c r="Q11" s="1797"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78"/>
      <c r="Q12" s="179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78"/>
      <c r="Q13" s="179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2675">
        <f t="shared" si="5"/>
        <v>1</v>
      </c>
    </row>
    <row r="14" spans="1:29" ht="15.6"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78"/>
      <c r="Q14" s="1797">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2675">
        <f t="shared" si="5"/>
        <v>1</v>
      </c>
    </row>
    <row r="15" spans="1:29" ht="69">
      <c r="A15" s="440" t="s">
        <v>2560</v>
      </c>
      <c r="B15" s="629" t="s">
        <v>2688</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5" t="s">
        <v>2561</v>
      </c>
      <c r="Q15" s="1812" t="str">
        <f t="shared" si="6"/>
        <v>办公集聚程度</v>
      </c>
      <c r="R15" s="774" t="s">
        <v>17</v>
      </c>
      <c r="S15" s="775">
        <f t="shared" si="0"/>
        <v>100</v>
      </c>
      <c r="T15" s="774" t="s">
        <v>17</v>
      </c>
      <c r="U15" s="775">
        <f t="shared" si="1"/>
        <v>100</v>
      </c>
      <c r="V15" s="774" t="s">
        <v>17</v>
      </c>
      <c r="W15" s="775">
        <f t="shared" si="2"/>
        <v>100</v>
      </c>
      <c r="X15" s="1815"/>
      <c r="Y15" s="3198" t="s">
        <v>2561</v>
      </c>
      <c r="Z15" s="1816" t="str">
        <f t="shared" si="7"/>
        <v>办公集聚程度</v>
      </c>
      <c r="AA15" s="1813">
        <f t="shared" si="3"/>
        <v>1</v>
      </c>
      <c r="AB15" s="1813">
        <f t="shared" si="4"/>
        <v>1</v>
      </c>
      <c r="AC15" s="2678">
        <f t="shared" si="5"/>
        <v>1</v>
      </c>
    </row>
    <row r="16" spans="1:29" ht="15">
      <c r="A16" s="428"/>
      <c r="B16" s="630"/>
      <c r="C16" s="2615"/>
      <c r="D16" s="448"/>
      <c r="E16" s="447"/>
      <c r="F16" s="448"/>
      <c r="G16" s="2615"/>
      <c r="H16" s="450"/>
      <c r="I16" s="447"/>
      <c r="J16" s="448"/>
      <c r="K16" s="615"/>
      <c r="L16" s="1143"/>
      <c r="M16" s="1134"/>
      <c r="N16" s="1134"/>
      <c r="O16" s="1134"/>
      <c r="P16" s="3206"/>
      <c r="Q16" s="1812"/>
      <c r="R16" s="774"/>
      <c r="S16" s="775"/>
      <c r="T16" s="774"/>
      <c r="U16" s="775"/>
      <c r="V16" s="774"/>
      <c r="W16" s="775"/>
      <c r="X16" s="1815"/>
      <c r="Y16" s="3199"/>
      <c r="Z16" s="1816"/>
      <c r="AA16" s="1813">
        <v>1</v>
      </c>
      <c r="AB16" s="1813">
        <v>1</v>
      </c>
      <c r="AC16" s="2678">
        <v>1</v>
      </c>
    </row>
    <row r="17" spans="1:29" ht="82.8">
      <c r="A17" s="428"/>
      <c r="B17" s="631" t="s">
        <v>2099</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6"/>
      <c r="Q17" s="1812" t="str">
        <f>B17</f>
        <v>交通便捷度</v>
      </c>
      <c r="R17" s="774" t="s">
        <v>17</v>
      </c>
      <c r="S17" s="775">
        <f>F17</f>
        <v>100</v>
      </c>
      <c r="T17" s="774" t="s">
        <v>17</v>
      </c>
      <c r="U17" s="775">
        <f>H17</f>
        <v>100</v>
      </c>
      <c r="V17" s="774" t="s">
        <v>17</v>
      </c>
      <c r="W17" s="775">
        <f>J17</f>
        <v>100</v>
      </c>
      <c r="X17" s="1815"/>
      <c r="Y17" s="3199"/>
      <c r="Z17" s="1816" t="str">
        <f>Q17</f>
        <v>交通便捷度</v>
      </c>
      <c r="AA17" s="1813">
        <f t="shared" si="3"/>
        <v>1</v>
      </c>
      <c r="AB17" s="1813">
        <f t="shared" si="4"/>
        <v>1</v>
      </c>
      <c r="AC17" s="2678">
        <f t="shared" si="5"/>
        <v>1</v>
      </c>
    </row>
    <row r="18" spans="1:29" ht="15">
      <c r="A18" s="428"/>
      <c r="B18" s="632"/>
      <c r="C18" s="2680"/>
      <c r="D18" s="450"/>
      <c r="E18" s="2613"/>
      <c r="F18" s="450"/>
      <c r="G18" s="2614"/>
      <c r="H18" s="448"/>
      <c r="I18" s="2614"/>
      <c r="J18" s="448"/>
      <c r="K18" s="615"/>
      <c r="L18" s="1143"/>
      <c r="M18" s="1134"/>
      <c r="N18" s="1134"/>
      <c r="O18" s="1134"/>
      <c r="P18" s="3206"/>
      <c r="Q18" s="1812"/>
      <c r="R18" s="774"/>
      <c r="S18" s="775"/>
      <c r="T18" s="774"/>
      <c r="U18" s="775"/>
      <c r="V18" s="774"/>
      <c r="W18" s="775"/>
      <c r="X18" s="1815"/>
      <c r="Y18" s="3199"/>
      <c r="Z18" s="1816"/>
      <c r="AA18" s="1813">
        <v>1</v>
      </c>
      <c r="AB18" s="1813">
        <v>1</v>
      </c>
      <c r="AC18" s="2678">
        <v>1</v>
      </c>
    </row>
    <row r="19" spans="1:29" ht="41.4">
      <c r="A19" s="428"/>
      <c r="B19" s="631" t="s">
        <v>2689</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6"/>
      <c r="Q19" s="1812" t="str">
        <f>B19</f>
        <v>公共配套设施</v>
      </c>
      <c r="R19" s="774" t="s">
        <v>17</v>
      </c>
      <c r="S19" s="775">
        <f>F19</f>
        <v>100</v>
      </c>
      <c r="T19" s="774" t="s">
        <v>17</v>
      </c>
      <c r="U19" s="775">
        <f>H19</f>
        <v>100</v>
      </c>
      <c r="V19" s="774" t="s">
        <v>17</v>
      </c>
      <c r="W19" s="775">
        <f>J19</f>
        <v>100</v>
      </c>
      <c r="X19" s="1815"/>
      <c r="Y19" s="3199"/>
      <c r="Z19" s="1816" t="str">
        <f>Q19</f>
        <v>公共配套设施</v>
      </c>
      <c r="AA19" s="1813">
        <f t="shared" si="3"/>
        <v>1</v>
      </c>
      <c r="AB19" s="1813">
        <f t="shared" si="4"/>
        <v>1</v>
      </c>
      <c r="AC19" s="2678">
        <f t="shared" si="5"/>
        <v>1</v>
      </c>
    </row>
    <row r="20" spans="1:29" ht="15">
      <c r="A20" s="428"/>
      <c r="B20" s="632"/>
      <c r="C20" s="2615"/>
      <c r="D20" s="448"/>
      <c r="E20" s="2608"/>
      <c r="F20" s="448"/>
      <c r="G20" s="2609"/>
      <c r="H20" s="448"/>
      <c r="I20" s="2609"/>
      <c r="J20" s="448"/>
      <c r="K20" s="615"/>
      <c r="L20" s="1143"/>
      <c r="M20" s="1134"/>
      <c r="N20" s="1134"/>
      <c r="O20" s="1134"/>
      <c r="P20" s="3206"/>
      <c r="Q20" s="1812"/>
      <c r="R20" s="774"/>
      <c r="S20" s="775"/>
      <c r="T20" s="774"/>
      <c r="U20" s="775"/>
      <c r="V20" s="774"/>
      <c r="W20" s="775"/>
      <c r="X20" s="1815"/>
      <c r="Y20" s="3199"/>
      <c r="Z20" s="1816"/>
      <c r="AA20" s="1813">
        <v>1</v>
      </c>
      <c r="AB20" s="1813">
        <v>1</v>
      </c>
      <c r="AC20" s="2678">
        <v>1</v>
      </c>
    </row>
    <row r="21" spans="1:29" ht="27.6">
      <c r="A21" s="428"/>
      <c r="B21" s="633" t="s">
        <v>2690</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6"/>
      <c r="Q21" s="1812" t="str">
        <f>B21</f>
        <v>基础设施水平</v>
      </c>
      <c r="R21" s="774" t="s">
        <v>17</v>
      </c>
      <c r="S21" s="775">
        <f>F21</f>
        <v>100</v>
      </c>
      <c r="T21" s="774" t="s">
        <v>17</v>
      </c>
      <c r="U21" s="775">
        <f>H21</f>
        <v>100</v>
      </c>
      <c r="V21" s="774" t="s">
        <v>17</v>
      </c>
      <c r="W21" s="775">
        <f>J21</f>
        <v>100</v>
      </c>
      <c r="X21" s="1815"/>
      <c r="Y21" s="3199"/>
      <c r="Z21" s="1816" t="str">
        <f>Q21</f>
        <v>基础设施水平</v>
      </c>
      <c r="AA21" s="1813">
        <f t="shared" ref="AA21" si="8">D21/F21</f>
        <v>1</v>
      </c>
      <c r="AB21" s="1813">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06"/>
      <c r="Q22" s="1812"/>
      <c r="R22" s="774"/>
      <c r="S22" s="775"/>
      <c r="T22" s="774"/>
      <c r="U22" s="775"/>
      <c r="V22" s="774"/>
      <c r="W22" s="775"/>
      <c r="X22" s="1815"/>
      <c r="Y22" s="3199"/>
      <c r="Z22" s="1816"/>
      <c r="AA22" s="1813">
        <v>1</v>
      </c>
      <c r="AB22" s="1813">
        <v>1</v>
      </c>
      <c r="AC22" s="2678">
        <v>1</v>
      </c>
    </row>
    <row r="23" spans="1:29" ht="55.2">
      <c r="A23" s="428"/>
      <c r="B23" s="631" t="s">
        <v>2691</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6"/>
      <c r="Q23" s="1812" t="str">
        <f>B23</f>
        <v>环境质量</v>
      </c>
      <c r="R23" s="774" t="s">
        <v>17</v>
      </c>
      <c r="S23" s="775">
        <f>F23</f>
        <v>100</v>
      </c>
      <c r="T23" s="774" t="s">
        <v>17</v>
      </c>
      <c r="U23" s="775">
        <f>H23</f>
        <v>100</v>
      </c>
      <c r="V23" s="774" t="s">
        <v>17</v>
      </c>
      <c r="W23" s="775">
        <f>J23</f>
        <v>100</v>
      </c>
      <c r="X23" s="1815"/>
      <c r="Y23" s="3199"/>
      <c r="Z23" s="1816" t="str">
        <f>Q23</f>
        <v>环境质量</v>
      </c>
      <c r="AA23" s="1813">
        <f t="shared" si="3"/>
        <v>1</v>
      </c>
      <c r="AB23" s="1813">
        <f t="shared" si="4"/>
        <v>1</v>
      </c>
      <c r="AC23" s="2678">
        <f t="shared" si="5"/>
        <v>1</v>
      </c>
    </row>
    <row r="24" spans="1:29" ht="15">
      <c r="A24" s="428"/>
      <c r="B24" s="633"/>
      <c r="C24" s="2615"/>
      <c r="D24" s="448"/>
      <c r="E24" s="2608"/>
      <c r="F24" s="448"/>
      <c r="G24" s="2609"/>
      <c r="H24" s="448"/>
      <c r="I24" s="2609"/>
      <c r="J24" s="448"/>
      <c r="K24" s="615"/>
      <c r="L24" s="1143"/>
      <c r="M24" s="1134"/>
      <c r="N24" s="1134"/>
      <c r="O24" s="1134"/>
      <c r="P24" s="3206"/>
      <c r="Q24" s="1812"/>
      <c r="R24" s="774"/>
      <c r="S24" s="775"/>
      <c r="T24" s="774"/>
      <c r="U24" s="775"/>
      <c r="V24" s="774"/>
      <c r="W24" s="775"/>
      <c r="X24" s="1815"/>
      <c r="Y24" s="3199"/>
      <c r="Z24" s="1816"/>
      <c r="AA24" s="1813">
        <v>1</v>
      </c>
      <c r="AB24" s="1813">
        <v>1</v>
      </c>
      <c r="AC24" s="2678">
        <v>1</v>
      </c>
    </row>
    <row r="25" spans="1:29" ht="28.8">
      <c r="A25" s="404"/>
      <c r="B25" s="631" t="s">
        <v>2692</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06"/>
      <c r="Q25" s="1812" t="str">
        <f>B25</f>
        <v>毗邻道路的类型与等级</v>
      </c>
      <c r="R25" s="774" t="s">
        <v>17</v>
      </c>
      <c r="S25" s="775">
        <f>F25</f>
        <v>100</v>
      </c>
      <c r="T25" s="774" t="s">
        <v>17</v>
      </c>
      <c r="U25" s="775">
        <f>H25</f>
        <v>100</v>
      </c>
      <c r="V25" s="774" t="s">
        <v>17</v>
      </c>
      <c r="W25" s="775">
        <f>J25</f>
        <v>100</v>
      </c>
      <c r="X25" s="1815"/>
      <c r="Y25" s="3199"/>
      <c r="Z25" s="1816" t="str">
        <f>Q25</f>
        <v>毗邻道路的类型与等级</v>
      </c>
      <c r="AA25" s="1813">
        <f t="shared" si="3"/>
        <v>1</v>
      </c>
      <c r="AB25" s="1813">
        <f t="shared" si="4"/>
        <v>1</v>
      </c>
      <c r="AC25" s="2678">
        <f t="shared" si="5"/>
        <v>1</v>
      </c>
    </row>
    <row r="26" spans="1:29" ht="15">
      <c r="A26" s="404"/>
      <c r="B26" s="632"/>
      <c r="C26" s="634"/>
      <c r="D26" s="435"/>
      <c r="E26" s="616"/>
      <c r="F26" s="435"/>
      <c r="G26" s="634"/>
      <c r="H26" s="435"/>
      <c r="I26" s="616"/>
      <c r="J26" s="435"/>
      <c r="K26" s="615"/>
      <c r="L26" s="1143"/>
      <c r="M26" s="1134"/>
      <c r="N26" s="1134"/>
      <c r="O26" s="1134"/>
      <c r="P26" s="3206"/>
      <c r="Q26" s="1812"/>
      <c r="R26" s="774"/>
      <c r="S26" s="775"/>
      <c r="T26" s="774"/>
      <c r="U26" s="775"/>
      <c r="V26" s="774"/>
      <c r="W26" s="775"/>
      <c r="X26" s="1815"/>
      <c r="Y26" s="3199"/>
      <c r="Z26" s="1816"/>
      <c r="AA26" s="1813">
        <v>1</v>
      </c>
      <c r="AB26" s="1813">
        <v>1</v>
      </c>
      <c r="AC26" s="267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6"/>
      <c r="Q27" s="1812" t="str">
        <f t="shared" ref="Q27:Q47" si="11">B27</f>
        <v>楼层</v>
      </c>
      <c r="R27" s="774" t="s">
        <v>17</v>
      </c>
      <c r="S27" s="775">
        <f>F27</f>
        <v>100</v>
      </c>
      <c r="T27" s="774" t="s">
        <v>17</v>
      </c>
      <c r="U27" s="775">
        <f>H27</f>
        <v>100</v>
      </c>
      <c r="V27" s="774" t="s">
        <v>17</v>
      </c>
      <c r="W27" s="775">
        <f>J27</f>
        <v>100</v>
      </c>
      <c r="X27" s="1815"/>
      <c r="Y27" s="3199"/>
      <c r="Z27" s="1816" t="str">
        <f>Q27</f>
        <v>楼层</v>
      </c>
      <c r="AA27" s="1813">
        <f t="shared" si="3"/>
        <v>1</v>
      </c>
      <c r="AB27" s="1813">
        <f t="shared" si="4"/>
        <v>1</v>
      </c>
      <c r="AC27" s="2678">
        <f t="shared" si="5"/>
        <v>1</v>
      </c>
    </row>
    <row r="28" spans="1:29" s="117" customFormat="1" ht="15">
      <c r="A28" s="431"/>
      <c r="B28" s="631" t="s">
        <v>2693</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06"/>
      <c r="Q28" s="1797" t="str">
        <f t="shared" si="11"/>
        <v>朝向</v>
      </c>
      <c r="R28" s="770" t="s">
        <v>17</v>
      </c>
      <c r="S28" s="771">
        <f>F28</f>
        <v>100</v>
      </c>
      <c r="T28" s="770" t="s">
        <v>17</v>
      </c>
      <c r="U28" s="771">
        <f>H28</f>
        <v>100</v>
      </c>
      <c r="V28" s="770" t="s">
        <v>17</v>
      </c>
      <c r="W28" s="771">
        <f>J28</f>
        <v>100</v>
      </c>
      <c r="X28" s="772"/>
      <c r="Y28" s="3199"/>
      <c r="Z28" s="55" t="str">
        <f>Q28</f>
        <v>朝向</v>
      </c>
      <c r="AA28" s="1813">
        <f>D28/F28</f>
        <v>1</v>
      </c>
      <c r="AB28" s="1813">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06"/>
      <c r="Q29" s="1812">
        <f t="shared" si="11"/>
        <v>111</v>
      </c>
      <c r="R29" s="774" t="s">
        <v>17</v>
      </c>
      <c r="S29" s="775">
        <f t="shared" ref="S29:S47" si="12">F29</f>
        <v>100</v>
      </c>
      <c r="T29" s="774" t="s">
        <v>17</v>
      </c>
      <c r="U29" s="775">
        <f t="shared" ref="U29:U47" si="13">H29</f>
        <v>100</v>
      </c>
      <c r="V29" s="774" t="s">
        <v>17</v>
      </c>
      <c r="W29" s="775">
        <f t="shared" ref="W29:W47" si="14">J29</f>
        <v>100</v>
      </c>
      <c r="X29" s="1815"/>
      <c r="Y29" s="3199"/>
      <c r="Z29" s="1816">
        <f t="shared" ref="Z29:Z47" si="15">Q29</f>
        <v>111</v>
      </c>
      <c r="AA29" s="1813">
        <f t="shared" si="3"/>
        <v>1</v>
      </c>
      <c r="AB29" s="1813">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06"/>
      <c r="Q30" s="1812">
        <f t="shared" si="11"/>
        <v>111</v>
      </c>
      <c r="R30" s="774" t="s">
        <v>17</v>
      </c>
      <c r="S30" s="775">
        <f t="shared" si="12"/>
        <v>100</v>
      </c>
      <c r="T30" s="774" t="s">
        <v>17</v>
      </c>
      <c r="U30" s="775">
        <f t="shared" si="13"/>
        <v>100</v>
      </c>
      <c r="V30" s="774" t="s">
        <v>17</v>
      </c>
      <c r="W30" s="775">
        <f t="shared" si="14"/>
        <v>100</v>
      </c>
      <c r="X30" s="1815"/>
      <c r="Y30" s="3199"/>
      <c r="Z30" s="1816">
        <f t="shared" si="15"/>
        <v>111</v>
      </c>
      <c r="AA30" s="1813">
        <f t="shared" si="3"/>
        <v>1</v>
      </c>
      <c r="AB30" s="1813">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06"/>
      <c r="Q31" s="1812">
        <f t="shared" si="11"/>
        <v>111</v>
      </c>
      <c r="R31" s="774" t="s">
        <v>17</v>
      </c>
      <c r="S31" s="775">
        <f t="shared" si="12"/>
        <v>100</v>
      </c>
      <c r="T31" s="774" t="s">
        <v>17</v>
      </c>
      <c r="U31" s="775">
        <f t="shared" si="13"/>
        <v>100</v>
      </c>
      <c r="V31" s="774" t="s">
        <v>17</v>
      </c>
      <c r="W31" s="775">
        <f t="shared" si="14"/>
        <v>100</v>
      </c>
      <c r="X31" s="1815"/>
      <c r="Y31" s="3199"/>
      <c r="Z31" s="1816">
        <f t="shared" si="15"/>
        <v>111</v>
      </c>
      <c r="AA31" s="1813">
        <f t="shared" si="3"/>
        <v>1</v>
      </c>
      <c r="AB31" s="1813">
        <f t="shared" si="4"/>
        <v>1</v>
      </c>
      <c r="AC31" s="2678">
        <f t="shared" si="5"/>
        <v>1</v>
      </c>
    </row>
    <row r="32" spans="1:29" ht="15.6"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06"/>
      <c r="Q32" s="1812">
        <f t="shared" si="11"/>
        <v>111</v>
      </c>
      <c r="R32" s="774" t="s">
        <v>17</v>
      </c>
      <c r="S32" s="775">
        <f t="shared" si="12"/>
        <v>100</v>
      </c>
      <c r="T32" s="774" t="s">
        <v>17</v>
      </c>
      <c r="U32" s="775">
        <f t="shared" si="13"/>
        <v>100</v>
      </c>
      <c r="V32" s="774" t="s">
        <v>17</v>
      </c>
      <c r="W32" s="775">
        <f t="shared" si="14"/>
        <v>100</v>
      </c>
      <c r="X32" s="1815"/>
      <c r="Y32" s="3199"/>
      <c r="Z32" s="1816">
        <f t="shared" si="15"/>
        <v>111</v>
      </c>
      <c r="AA32" s="1813">
        <f t="shared" si="3"/>
        <v>1</v>
      </c>
      <c r="AB32" s="1813">
        <f t="shared" si="4"/>
        <v>1</v>
      </c>
      <c r="AC32" s="2678">
        <f t="shared" si="5"/>
        <v>1</v>
      </c>
    </row>
    <row r="33" spans="1:29" ht="15">
      <c r="A33" s="440" t="s">
        <v>2564</v>
      </c>
      <c r="B33" s="71" t="s">
        <v>2694</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00" t="s">
        <v>2566</v>
      </c>
      <c r="Q33" s="1812" t="str">
        <f t="shared" si="11"/>
        <v>建筑类型</v>
      </c>
      <c r="R33" s="774" t="s">
        <v>17</v>
      </c>
      <c r="S33" s="775">
        <f t="shared" si="12"/>
        <v>100</v>
      </c>
      <c r="T33" s="774" t="s">
        <v>17</v>
      </c>
      <c r="U33" s="775">
        <f t="shared" si="13"/>
        <v>100</v>
      </c>
      <c r="V33" s="774" t="s">
        <v>17</v>
      </c>
      <c r="W33" s="775">
        <f t="shared" si="14"/>
        <v>100</v>
      </c>
      <c r="X33" s="1815"/>
      <c r="Y33" s="3203" t="s">
        <v>2566</v>
      </c>
      <c r="Z33" s="1816" t="str">
        <f t="shared" si="15"/>
        <v>建筑类型</v>
      </c>
      <c r="AA33" s="1813">
        <f t="shared" si="3"/>
        <v>1</v>
      </c>
      <c r="AB33" s="1813">
        <f t="shared" si="4"/>
        <v>1</v>
      </c>
      <c r="AC33" s="2678">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1"/>
      <c r="Q34" s="776" t="str">
        <f t="shared" si="11"/>
        <v>项目建筑规模</v>
      </c>
      <c r="R34" s="777" t="s">
        <v>17</v>
      </c>
      <c r="S34" s="778" t="e">
        <f t="shared" si="12"/>
        <v>#N/A</v>
      </c>
      <c r="T34" s="777" t="s">
        <v>17</v>
      </c>
      <c r="U34" s="778" t="e">
        <f t="shared" si="13"/>
        <v>#N/A</v>
      </c>
      <c r="V34" s="777" t="s">
        <v>17</v>
      </c>
      <c r="W34" s="778" t="e">
        <f t="shared" si="14"/>
        <v>#N/A</v>
      </c>
      <c r="X34" s="779"/>
      <c r="Y34" s="3203"/>
      <c r="Z34" s="780" t="str">
        <f t="shared" si="15"/>
        <v>项目建筑规模</v>
      </c>
      <c r="AA34" s="1813" t="e">
        <f t="shared" si="3"/>
        <v>#N/A</v>
      </c>
      <c r="AB34" s="1813" t="e">
        <f t="shared" si="4"/>
        <v>#N/A</v>
      </c>
      <c r="AC34" s="2678"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1"/>
      <c r="Q35" s="1812" t="str">
        <f t="shared" si="11"/>
        <v>建筑结构</v>
      </c>
      <c r="R35" s="774" t="s">
        <v>17</v>
      </c>
      <c r="S35" s="775">
        <f t="shared" si="12"/>
        <v>100</v>
      </c>
      <c r="T35" s="774" t="s">
        <v>17</v>
      </c>
      <c r="U35" s="775">
        <f t="shared" si="13"/>
        <v>100</v>
      </c>
      <c r="V35" s="774" t="s">
        <v>17</v>
      </c>
      <c r="W35" s="775">
        <f t="shared" si="14"/>
        <v>100</v>
      </c>
      <c r="X35" s="1815"/>
      <c r="Y35" s="3203"/>
      <c r="Z35" s="1816" t="str">
        <f t="shared" si="15"/>
        <v>建筑结构</v>
      </c>
      <c r="AA35" s="1813">
        <f t="shared" si="3"/>
        <v>1</v>
      </c>
      <c r="AB35" s="1813">
        <f t="shared" si="4"/>
        <v>1</v>
      </c>
      <c r="AC35" s="267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1"/>
      <c r="Q36" s="1812" t="str">
        <f t="shared" si="11"/>
        <v>公共部分装修</v>
      </c>
      <c r="R36" s="774" t="s">
        <v>17</v>
      </c>
      <c r="S36" s="775">
        <f t="shared" si="12"/>
        <v>100</v>
      </c>
      <c r="T36" s="774" t="s">
        <v>17</v>
      </c>
      <c r="U36" s="775">
        <f t="shared" si="13"/>
        <v>100</v>
      </c>
      <c r="V36" s="774" t="s">
        <v>17</v>
      </c>
      <c r="W36" s="775">
        <f t="shared" si="14"/>
        <v>100</v>
      </c>
      <c r="X36" s="1815"/>
      <c r="Y36" s="3203"/>
      <c r="Z36" s="1816" t="str">
        <f t="shared" si="15"/>
        <v>公共部分装修</v>
      </c>
      <c r="AA36" s="1813">
        <f t="shared" si="3"/>
        <v>1</v>
      </c>
      <c r="AB36" s="1813">
        <f t="shared" si="4"/>
        <v>1</v>
      </c>
      <c r="AC36" s="2678">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1"/>
      <c r="Q37" s="1812" t="str">
        <f t="shared" si="11"/>
        <v>成新度</v>
      </c>
      <c r="R37" s="774" t="s">
        <v>17</v>
      </c>
      <c r="S37" s="775" t="e">
        <f t="shared" si="12"/>
        <v>#N/A</v>
      </c>
      <c r="T37" s="774" t="s">
        <v>17</v>
      </c>
      <c r="U37" s="775" t="e">
        <f t="shared" si="13"/>
        <v>#N/A</v>
      </c>
      <c r="V37" s="774" t="s">
        <v>17</v>
      </c>
      <c r="W37" s="775" t="e">
        <f t="shared" si="14"/>
        <v>#N/A</v>
      </c>
      <c r="X37" s="1815"/>
      <c r="Y37" s="3203"/>
      <c r="Z37" s="1816" t="str">
        <f t="shared" si="15"/>
        <v>成新度</v>
      </c>
      <c r="AA37" s="1813" t="e">
        <f t="shared" si="3"/>
        <v>#N/A</v>
      </c>
      <c r="AB37" s="1813" t="e">
        <f t="shared" si="4"/>
        <v>#N/A</v>
      </c>
      <c r="AC37" s="2678"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1"/>
      <c r="Q38" s="1797"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1" t="s">
        <v>2566</v>
      </c>
      <c r="Q39" s="1812" t="str">
        <f t="shared" si="11"/>
        <v>物业管理</v>
      </c>
      <c r="R39" s="774" t="s">
        <v>17</v>
      </c>
      <c r="S39" s="775">
        <f t="shared" si="12"/>
        <v>100</v>
      </c>
      <c r="T39" s="774" t="s">
        <v>17</v>
      </c>
      <c r="U39" s="775">
        <f t="shared" si="13"/>
        <v>100</v>
      </c>
      <c r="V39" s="774" t="s">
        <v>17</v>
      </c>
      <c r="W39" s="775">
        <f t="shared" si="14"/>
        <v>100</v>
      </c>
      <c r="X39" s="1815"/>
      <c r="Y39" s="3203" t="s">
        <v>2566</v>
      </c>
      <c r="Z39" s="1816" t="str">
        <f t="shared" si="15"/>
        <v>物业管理</v>
      </c>
      <c r="AA39" s="1813">
        <f t="shared" si="3"/>
        <v>1</v>
      </c>
      <c r="AB39" s="1813">
        <f t="shared" si="4"/>
        <v>1</v>
      </c>
      <c r="AC39" s="267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1"/>
      <c r="Q40" s="1812" t="str">
        <f t="shared" si="11"/>
        <v>市政基础设施</v>
      </c>
      <c r="R40" s="774" t="s">
        <v>17</v>
      </c>
      <c r="S40" s="775">
        <f t="shared" si="12"/>
        <v>100</v>
      </c>
      <c r="T40" s="774" t="s">
        <v>17</v>
      </c>
      <c r="U40" s="775">
        <f t="shared" si="13"/>
        <v>100</v>
      </c>
      <c r="V40" s="774" t="s">
        <v>17</v>
      </c>
      <c r="W40" s="775">
        <f t="shared" si="14"/>
        <v>100</v>
      </c>
      <c r="X40" s="1815"/>
      <c r="Y40" s="3203"/>
      <c r="Z40" s="1816" t="str">
        <f t="shared" si="15"/>
        <v>市政基础设施</v>
      </c>
      <c r="AA40" s="1813">
        <f t="shared" si="3"/>
        <v>1</v>
      </c>
      <c r="AB40" s="1813">
        <f t="shared" si="4"/>
        <v>1</v>
      </c>
      <c r="AC40" s="267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1"/>
      <c r="Q41" s="1812" t="str">
        <f t="shared" si="11"/>
        <v>层高</v>
      </c>
      <c r="R41" s="774" t="s">
        <v>17</v>
      </c>
      <c r="S41" s="775">
        <f t="shared" si="12"/>
        <v>100</v>
      </c>
      <c r="T41" s="774" t="s">
        <v>17</v>
      </c>
      <c r="U41" s="775">
        <f t="shared" si="13"/>
        <v>100</v>
      </c>
      <c r="V41" s="774" t="s">
        <v>17</v>
      </c>
      <c r="W41" s="775">
        <f t="shared" si="14"/>
        <v>100</v>
      </c>
      <c r="X41" s="1815"/>
      <c r="Y41" s="3203"/>
      <c r="Z41" s="1816" t="str">
        <f t="shared" si="15"/>
        <v>层高</v>
      </c>
      <c r="AA41" s="1813">
        <f t="shared" si="3"/>
        <v>1</v>
      </c>
      <c r="AB41" s="1813">
        <f t="shared" si="4"/>
        <v>1</v>
      </c>
      <c r="AC41" s="2678">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1"/>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3">
        <f t="shared" si="3"/>
        <v>1</v>
      </c>
      <c r="AB42" s="1813">
        <f t="shared" si="4"/>
        <v>1</v>
      </c>
      <c r="AC42" s="267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1"/>
      <c r="Q43" s="1812" t="str">
        <f t="shared" si="11"/>
        <v>内部装修</v>
      </c>
      <c r="R43" s="774" t="s">
        <v>17</v>
      </c>
      <c r="S43" s="775">
        <f t="shared" si="12"/>
        <v>100</v>
      </c>
      <c r="T43" s="774" t="s">
        <v>17</v>
      </c>
      <c r="U43" s="775">
        <f t="shared" si="13"/>
        <v>100</v>
      </c>
      <c r="V43" s="774" t="s">
        <v>17</v>
      </c>
      <c r="W43" s="775">
        <f t="shared" si="14"/>
        <v>100</v>
      </c>
      <c r="X43" s="1815"/>
      <c r="Y43" s="3203"/>
      <c r="Z43" s="1816" t="str">
        <f t="shared" si="15"/>
        <v>内部装修</v>
      </c>
      <c r="AA43" s="1813">
        <f t="shared" si="3"/>
        <v>1</v>
      </c>
      <c r="AB43" s="1813">
        <f t="shared" si="4"/>
        <v>1</v>
      </c>
      <c r="AC43" s="2678">
        <f t="shared" si="5"/>
        <v>1</v>
      </c>
    </row>
    <row r="44" spans="1:29" ht="28.8">
      <c r="A44" s="472"/>
      <c r="B44" s="422" t="s">
        <v>2577</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01"/>
      <c r="Q44" s="1812" t="str">
        <f t="shared" si="11"/>
        <v>内部装修维护情况</v>
      </c>
      <c r="R44" s="774" t="s">
        <v>17</v>
      </c>
      <c r="S44" s="775">
        <f t="shared" si="12"/>
        <v>100</v>
      </c>
      <c r="T44" s="774" t="s">
        <v>17</v>
      </c>
      <c r="U44" s="775">
        <f t="shared" si="13"/>
        <v>100</v>
      </c>
      <c r="V44" s="774" t="s">
        <v>17</v>
      </c>
      <c r="W44" s="775">
        <f t="shared" si="14"/>
        <v>100</v>
      </c>
      <c r="X44" s="1815"/>
      <c r="Y44" s="3203"/>
      <c r="Z44" s="1816" t="str">
        <f t="shared" si="15"/>
        <v>内部装修维护情况</v>
      </c>
      <c r="AA44" s="1813">
        <f t="shared" si="3"/>
        <v>1</v>
      </c>
      <c r="AB44" s="1813">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1"/>
      <c r="Q45" s="1797">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1"/>
      <c r="Q46" s="1812">
        <f t="shared" si="11"/>
        <v>111</v>
      </c>
      <c r="R46" s="774" t="s">
        <v>17</v>
      </c>
      <c r="S46" s="775">
        <f t="shared" si="12"/>
        <v>100</v>
      </c>
      <c r="T46" s="774" t="s">
        <v>17</v>
      </c>
      <c r="U46" s="775">
        <f t="shared" si="13"/>
        <v>100</v>
      </c>
      <c r="V46" s="774" t="s">
        <v>17</v>
      </c>
      <c r="W46" s="775">
        <f t="shared" si="14"/>
        <v>100</v>
      </c>
      <c r="X46" s="1815"/>
      <c r="Y46" s="3203"/>
      <c r="Z46" s="1816">
        <f t="shared" si="15"/>
        <v>111</v>
      </c>
      <c r="AA46" s="1813">
        <f t="shared" si="3"/>
        <v>1</v>
      </c>
      <c r="AB46" s="1813">
        <f t="shared" si="4"/>
        <v>1</v>
      </c>
      <c r="AC46" s="2678">
        <f t="shared" si="5"/>
        <v>1</v>
      </c>
    </row>
    <row r="47" spans="1:29" ht="15.6"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2"/>
      <c r="Q47" s="1812">
        <f t="shared" si="11"/>
        <v>111</v>
      </c>
      <c r="R47" s="774" t="s">
        <v>17</v>
      </c>
      <c r="S47" s="775">
        <f t="shared" si="12"/>
        <v>100</v>
      </c>
      <c r="T47" s="774" t="s">
        <v>17</v>
      </c>
      <c r="U47" s="775">
        <f t="shared" si="13"/>
        <v>100</v>
      </c>
      <c r="V47" s="774" t="s">
        <v>17</v>
      </c>
      <c r="W47" s="775">
        <f t="shared" si="14"/>
        <v>100</v>
      </c>
      <c r="X47" s="1815"/>
      <c r="Y47" s="3204"/>
      <c r="Z47" s="1816">
        <f t="shared" si="15"/>
        <v>111</v>
      </c>
      <c r="AA47" s="1813">
        <f t="shared" si="3"/>
        <v>1</v>
      </c>
      <c r="AB47" s="1813">
        <f t="shared" si="4"/>
        <v>1</v>
      </c>
      <c r="AC47" s="2678">
        <f t="shared" si="5"/>
        <v>1</v>
      </c>
    </row>
    <row r="48" spans="1:29" ht="14.4">
      <c r="A48" s="479" t="s">
        <v>2578</v>
      </c>
      <c r="B48" s="480"/>
      <c r="C48" s="1409" t="s">
        <v>1</v>
      </c>
      <c r="D48" s="1410"/>
      <c r="E48" s="1411"/>
      <c r="F48" s="1412"/>
      <c r="G48" s="1413"/>
      <c r="H48" s="1414"/>
      <c r="I48" s="1411"/>
      <c r="J48" s="485"/>
      <c r="K48" s="783"/>
      <c r="L48" s="1146"/>
      <c r="M48" s="1134"/>
      <c r="N48" s="1134"/>
      <c r="O48" s="1134"/>
      <c r="P48" s="3178" t="str">
        <f>A48</f>
        <v>成交单价（元/平方米）</v>
      </c>
      <c r="Q48" s="3196"/>
      <c r="R48" s="3197">
        <f>E48</f>
        <v>0</v>
      </c>
      <c r="S48" s="3197"/>
      <c r="T48" s="3197">
        <f>G48</f>
        <v>0</v>
      </c>
      <c r="U48" s="3197"/>
      <c r="V48" s="3197">
        <f>I48</f>
        <v>0</v>
      </c>
      <c r="W48" s="3197"/>
      <c r="X48" s="446"/>
      <c r="Y48" s="781"/>
      <c r="Z48" s="446"/>
      <c r="AA48" s="446"/>
      <c r="AB48" s="446"/>
      <c r="AC48" s="630"/>
    </row>
    <row r="49" spans="1:29" ht="15" thickBot="1">
      <c r="A49" s="486" t="s">
        <v>2670</v>
      </c>
      <c r="B49" s="487"/>
      <c r="C49" s="1415" t="e">
        <f>R50</f>
        <v>#DIV/0!</v>
      </c>
      <c r="D49" s="1416"/>
      <c r="E49" s="1417" t="e">
        <f>R49</f>
        <v>#DIV/0!</v>
      </c>
      <c r="F49" s="1417"/>
      <c r="G49" s="1415" t="e">
        <f>T49</f>
        <v>#DIV/0!</v>
      </c>
      <c r="H49" s="1416"/>
      <c r="I49" s="1417" t="e">
        <f>V49</f>
        <v>#DIV/0!</v>
      </c>
      <c r="J49" s="489"/>
      <c r="K49" s="784"/>
      <c r="L49" s="1146"/>
      <c r="M49" s="1134"/>
      <c r="N49" s="1134"/>
      <c r="O49" s="1134"/>
      <c r="P49" s="3178" t="str">
        <f>A49</f>
        <v>比较价值（元/平方米）</v>
      </c>
      <c r="Q49" s="3196"/>
      <c r="R49" s="3197" t="e">
        <f>IF(F1="售价",ROUND(PRODUCT(R48,AA7:AA47),0),ROUND(PRODUCT(R48,AA7:AA47),1))</f>
        <v>#DIV/0!</v>
      </c>
      <c r="S49" s="3197"/>
      <c r="T49" s="3197" t="e">
        <f>IF(F1="售价",ROUND(PRODUCT(T48,AB7:AB47),0),ROUND(PRODUCT(T48,AB7:AB47),1))</f>
        <v>#DIV/0!</v>
      </c>
      <c r="U49" s="3197"/>
      <c r="V49" s="3197" t="e">
        <f>IF(F1="售价",ROUND(PRODUCT(V48,AC7:AC47),0),ROUND(PRODUCT(V48,AC7:AC47),1))</f>
        <v>#DIV/0!</v>
      </c>
      <c r="W49" s="3197"/>
      <c r="X49" s="446"/>
      <c r="Y49" s="446"/>
      <c r="Z49" s="446"/>
      <c r="AA49" s="446"/>
      <c r="AB49" s="446"/>
      <c r="AC49" s="630"/>
    </row>
    <row r="50" spans="1:29" ht="15" thickBot="1">
      <c r="A50" s="492" t="s">
        <v>2671</v>
      </c>
      <c r="B50" s="493"/>
      <c r="C50" s="1419" t="e">
        <f>R50</f>
        <v>#DIV/0!</v>
      </c>
      <c r="D50" s="1419"/>
      <c r="E50" s="1419"/>
      <c r="F50" s="1419"/>
      <c r="G50" s="1419"/>
      <c r="H50" s="1419"/>
      <c r="I50" s="1419"/>
      <c r="J50" s="494"/>
      <c r="K50" s="785"/>
      <c r="L50" s="1146"/>
      <c r="M50" s="1134"/>
      <c r="N50" s="1134"/>
      <c r="O50" s="1134"/>
      <c r="P50" s="3219" t="str">
        <f>A50</f>
        <v>估价对象XX用房的比较价值（楼面单价，元/平方米）</v>
      </c>
      <c r="Q50" s="3220"/>
      <c r="R50" s="3221" t="e">
        <f>IF(F1="售价",ROUND(AVERAGE(R49:V49),0),ROUND(AVERAGE(R49:V49),1))</f>
        <v>#DIV/0!</v>
      </c>
      <c r="S50" s="3221"/>
      <c r="T50" s="3221"/>
      <c r="U50" s="3221"/>
      <c r="V50" s="3221"/>
      <c r="W50" s="3221"/>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2.2" thickBot="1">
      <c r="A58" s="763" t="s">
        <v>2675</v>
      </c>
      <c r="B58" s="759"/>
      <c r="C58" s="764"/>
      <c r="D58" s="764"/>
      <c r="E58" s="764"/>
      <c r="F58" s="765"/>
      <c r="G58" s="765"/>
      <c r="H58" s="764"/>
      <c r="I58" s="764"/>
      <c r="J58" s="764"/>
      <c r="K58" s="766"/>
      <c r="L58" s="1164"/>
      <c r="M58" s="1162"/>
      <c r="N58" s="1162"/>
      <c r="O58" s="1162"/>
      <c r="P58" s="2685"/>
      <c r="Q58" s="504"/>
    </row>
    <row r="59" spans="1:29" s="508" customFormat="1" ht="14.4">
      <c r="A59" s="505" t="s">
        <v>2549</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c r="A60" s="509"/>
      <c r="B60" s="510"/>
      <c r="C60" s="1575">
        <v>100</v>
      </c>
      <c r="D60" s="512"/>
      <c r="E60" s="512"/>
      <c r="F60" s="512"/>
      <c r="G60" s="512"/>
      <c r="H60" s="512"/>
      <c r="I60" s="512"/>
      <c r="J60" s="512"/>
      <c r="K60" s="512"/>
      <c r="L60" s="512"/>
      <c r="M60" s="513"/>
      <c r="N60" s="512"/>
      <c r="O60" s="513"/>
      <c r="P60" s="2686"/>
    </row>
    <row r="61" spans="1:29" s="117" customFormat="1" ht="15" thickBot="1">
      <c r="A61" s="515" t="s">
        <v>2586</v>
      </c>
      <c r="B61" s="516"/>
      <c r="C61" s="517"/>
      <c r="D61" s="518"/>
      <c r="E61" s="518"/>
      <c r="F61" s="518"/>
      <c r="G61" s="518"/>
      <c r="H61" s="518"/>
      <c r="I61" s="518"/>
      <c r="J61" s="518"/>
      <c r="K61" s="518"/>
      <c r="L61" s="518"/>
      <c r="M61" s="519"/>
      <c r="N61" s="518"/>
      <c r="O61" s="519"/>
      <c r="P61" s="2686"/>
      <c r="Q61" s="504"/>
    </row>
    <row r="62" spans="1:29" s="117" customFormat="1" ht="14.4">
      <c r="A62" s="521" t="s">
        <v>2551</v>
      </c>
      <c r="B62" s="510"/>
      <c r="C62" s="522" t="s">
        <v>2653</v>
      </c>
      <c r="D62" s="523"/>
      <c r="E62" s="523"/>
      <c r="F62" s="523"/>
      <c r="G62" s="523"/>
      <c r="H62" s="523"/>
      <c r="I62" s="523"/>
      <c r="J62" s="523"/>
      <c r="K62" s="523"/>
      <c r="L62" s="524"/>
      <c r="M62" s="525"/>
      <c r="N62" s="1154"/>
      <c r="O62" s="1154"/>
      <c r="P62" s="2687"/>
      <c r="Q62" s="504"/>
    </row>
    <row r="63" spans="1:29" s="117" customFormat="1" ht="14.4" thickBot="1">
      <c r="A63" s="521"/>
      <c r="B63" s="510"/>
      <c r="C63" s="511">
        <v>100</v>
      </c>
      <c r="D63" s="512"/>
      <c r="E63" s="512"/>
      <c r="F63" s="512"/>
      <c r="G63" s="512"/>
      <c r="H63" s="512"/>
      <c r="I63" s="512"/>
      <c r="J63" s="512"/>
      <c r="K63" s="512"/>
      <c r="L63" s="512"/>
      <c r="M63" s="514"/>
      <c r="N63" s="1154"/>
      <c r="O63" s="1154"/>
      <c r="P63" s="2686"/>
      <c r="Q63" s="504"/>
    </row>
    <row r="64" spans="1:29" ht="14.4">
      <c r="A64" s="527" t="s">
        <v>2589</v>
      </c>
      <c r="B64" s="528" t="s">
        <v>2555</v>
      </c>
      <c r="C64" s="529">
        <f>C9</f>
        <v>0</v>
      </c>
      <c r="D64" s="530"/>
      <c r="E64" s="530"/>
      <c r="F64" s="530"/>
      <c r="G64" s="530"/>
      <c r="H64" s="530"/>
      <c r="I64" s="530"/>
      <c r="J64" s="530"/>
      <c r="K64" s="531"/>
      <c r="L64" s="532"/>
      <c r="M64" s="533"/>
      <c r="N64" s="1155"/>
      <c r="O64" s="1155"/>
      <c r="P64" s="2688"/>
      <c r="Q64" s="504"/>
    </row>
    <row r="65" spans="1:17" ht="14.4" thickBot="1">
      <c r="A65" s="534"/>
      <c r="B65" s="535"/>
      <c r="C65" s="536">
        <v>100</v>
      </c>
      <c r="D65" s="536"/>
      <c r="E65" s="536"/>
      <c r="F65" s="536"/>
      <c r="G65" s="536"/>
      <c r="H65" s="536"/>
      <c r="I65" s="536"/>
      <c r="J65" s="536"/>
      <c r="K65" s="536"/>
      <c r="L65" s="536"/>
      <c r="M65" s="537"/>
      <c r="N65" s="1156"/>
      <c r="O65" s="1156"/>
      <c r="P65" s="2688"/>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c r="A69" s="534"/>
      <c r="B69" s="548"/>
      <c r="C69" s="549"/>
      <c r="D69" s="549"/>
      <c r="E69" s="549"/>
      <c r="F69" s="549"/>
      <c r="G69" s="549"/>
      <c r="H69" s="549"/>
      <c r="I69" s="549"/>
      <c r="J69" s="549"/>
      <c r="K69" s="550"/>
      <c r="L69" s="551"/>
      <c r="M69" s="552"/>
      <c r="N69" s="1155"/>
      <c r="O69" s="1155"/>
      <c r="P69" s="268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4.4" thickTop="1">
      <c r="A71" s="553"/>
      <c r="B71" s="538">
        <f>B12</f>
        <v>111</v>
      </c>
      <c r="C71" s="554"/>
      <c r="D71" s="554"/>
      <c r="E71" s="554"/>
      <c r="F71" s="554"/>
      <c r="G71" s="554"/>
      <c r="H71" s="555"/>
      <c r="I71" s="555"/>
      <c r="J71" s="555"/>
      <c r="K71" s="555"/>
      <c r="L71" s="556"/>
      <c r="M71" s="557"/>
      <c r="N71" s="1157"/>
      <c r="O71" s="1157"/>
      <c r="P71" s="2689"/>
      <c r="Q71" s="559"/>
    </row>
    <row r="72" spans="1:17" s="471" customFormat="1" ht="14.4" thickBot="1">
      <c r="A72" s="553"/>
      <c r="B72" s="543"/>
      <c r="C72" s="560"/>
      <c r="D72" s="536"/>
      <c r="E72" s="536"/>
      <c r="F72" s="536"/>
      <c r="G72" s="536"/>
      <c r="H72" s="536"/>
      <c r="I72" s="536"/>
      <c r="J72" s="536"/>
      <c r="K72" s="536"/>
      <c r="L72" s="536"/>
      <c r="M72" s="537"/>
      <c r="N72" s="1156"/>
      <c r="O72" s="1156"/>
      <c r="P72" s="2689"/>
      <c r="Q72" s="559"/>
    </row>
    <row r="73" spans="1:17" s="471" customFormat="1" ht="14.4" thickTop="1">
      <c r="A73" s="553"/>
      <c r="B73" s="538">
        <f>B13</f>
        <v>111</v>
      </c>
      <c r="C73" s="554"/>
      <c r="D73" s="554"/>
      <c r="E73" s="554"/>
      <c r="F73" s="554"/>
      <c r="G73" s="554"/>
      <c r="H73" s="555"/>
      <c r="I73" s="555"/>
      <c r="J73" s="555"/>
      <c r="K73" s="555"/>
      <c r="L73" s="556"/>
      <c r="M73" s="557"/>
      <c r="N73" s="1157"/>
      <c r="O73" s="1157"/>
      <c r="P73" s="2690"/>
      <c r="Q73" s="561"/>
    </row>
    <row r="74" spans="1:17" s="471" customFormat="1" ht="14.4" thickBot="1">
      <c r="A74" s="553"/>
      <c r="B74" s="543"/>
      <c r="C74" s="560"/>
      <c r="D74" s="560"/>
      <c r="E74" s="560"/>
      <c r="F74" s="560"/>
      <c r="G74" s="560"/>
      <c r="H74" s="562"/>
      <c r="I74" s="562"/>
      <c r="J74" s="562"/>
      <c r="K74" s="562"/>
      <c r="L74" s="562"/>
      <c r="M74" s="563"/>
      <c r="N74" s="1157"/>
      <c r="O74" s="1157"/>
      <c r="P74" s="2689"/>
      <c r="Q74" s="559"/>
    </row>
    <row r="75" spans="1:17" s="471" customFormat="1" ht="14.4" thickTop="1">
      <c r="A75" s="553"/>
      <c r="B75" s="546">
        <f>B14</f>
        <v>111</v>
      </c>
      <c r="C75" s="523"/>
      <c r="D75" s="523"/>
      <c r="E75" s="523"/>
      <c r="F75" s="523"/>
      <c r="G75" s="523"/>
      <c r="H75" s="564"/>
      <c r="I75" s="564"/>
      <c r="J75" s="564"/>
      <c r="K75" s="564"/>
      <c r="L75" s="565"/>
      <c r="M75" s="566"/>
      <c r="N75" s="1157"/>
      <c r="O75" s="1157"/>
      <c r="P75" s="2691"/>
      <c r="Q75" s="559"/>
    </row>
    <row r="76" spans="1:17" s="471" customFormat="1" ht="14.4" thickBot="1">
      <c r="A76" s="568"/>
      <c r="B76" s="569"/>
      <c r="C76" s="570"/>
      <c r="D76" s="570"/>
      <c r="E76" s="570"/>
      <c r="F76" s="570"/>
      <c r="G76" s="570"/>
      <c r="H76" s="571"/>
      <c r="I76" s="571"/>
      <c r="J76" s="571"/>
      <c r="K76" s="571"/>
      <c r="L76" s="571"/>
      <c r="M76" s="572"/>
      <c r="N76" s="1157"/>
      <c r="O76" s="1157"/>
      <c r="P76" s="2689"/>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55"/>
      <c r="O77" s="1155"/>
      <c r="P77" s="269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55"/>
      <c r="O79" s="1155"/>
      <c r="P79" s="268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55"/>
      <c r="O81" s="1155"/>
      <c r="P81" s="268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 thickTop="1">
      <c r="A83" s="534"/>
      <c r="B83" s="546" t="s">
        <v>2690</v>
      </c>
      <c r="C83" s="660" t="s">
        <v>2676</v>
      </c>
      <c r="D83" s="660" t="s">
        <v>2677</v>
      </c>
      <c r="E83" s="660" t="s">
        <v>2678</v>
      </c>
      <c r="F83" s="660" t="s">
        <v>2679</v>
      </c>
      <c r="G83" s="660" t="s">
        <v>2680</v>
      </c>
      <c r="H83" s="539"/>
      <c r="I83" s="539"/>
      <c r="J83" s="539"/>
      <c r="K83" s="539"/>
      <c r="L83" s="539"/>
      <c r="M83" s="1385"/>
      <c r="N83" s="1156"/>
      <c r="O83" s="1156"/>
      <c r="P83" s="268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55"/>
      <c r="O85" s="1155"/>
      <c r="P85" s="268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9.4" thickTop="1">
      <c r="A87" s="579"/>
      <c r="B87" s="538" t="s">
        <v>2700</v>
      </c>
      <c r="C87" s="554"/>
      <c r="D87" s="554"/>
      <c r="E87" s="554"/>
      <c r="F87" s="554"/>
      <c r="G87" s="554"/>
      <c r="H87" s="554"/>
      <c r="I87" s="554"/>
      <c r="J87" s="554"/>
      <c r="K87" s="554"/>
      <c r="L87" s="580"/>
      <c r="M87" s="581"/>
      <c r="N87" s="1154"/>
      <c r="O87" s="1154"/>
      <c r="P87" s="268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4.4"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4.4" thickTop="1">
      <c r="A93" s="534"/>
      <c r="B93" s="538">
        <f>B29</f>
        <v>111</v>
      </c>
      <c r="C93" s="554"/>
      <c r="D93" s="554"/>
      <c r="E93" s="554"/>
      <c r="F93" s="554"/>
      <c r="G93" s="554"/>
      <c r="H93" s="554"/>
      <c r="I93" s="554"/>
      <c r="J93" s="554"/>
      <c r="K93" s="554"/>
      <c r="L93" s="580"/>
      <c r="M93" s="581"/>
      <c r="N93" s="1155"/>
      <c r="O93" s="1155"/>
      <c r="P93" s="2688"/>
      <c r="Q93" s="504"/>
    </row>
    <row r="94" spans="1:17" ht="14.4" thickBot="1">
      <c r="A94" s="534"/>
      <c r="B94" s="543"/>
      <c r="C94" s="560"/>
      <c r="D94" s="536"/>
      <c r="E94" s="536"/>
      <c r="F94" s="536"/>
      <c r="G94" s="536"/>
      <c r="H94" s="536"/>
      <c r="I94" s="536"/>
      <c r="J94" s="536"/>
      <c r="K94" s="536"/>
      <c r="L94" s="536"/>
      <c r="M94" s="537"/>
      <c r="N94" s="1156"/>
      <c r="O94" s="1156"/>
      <c r="P94" s="2688"/>
      <c r="Q94" s="504"/>
    </row>
    <row r="95" spans="1:17" ht="14.4" thickTop="1">
      <c r="A95" s="534"/>
      <c r="B95" s="538">
        <f>B30</f>
        <v>111</v>
      </c>
      <c r="C95" s="554"/>
      <c r="D95" s="554"/>
      <c r="E95" s="554"/>
      <c r="F95" s="554"/>
      <c r="G95" s="583"/>
      <c r="H95" s="583"/>
      <c r="I95" s="583"/>
      <c r="J95" s="583"/>
      <c r="K95" s="584"/>
      <c r="L95" s="585"/>
      <c r="M95" s="586"/>
      <c r="N95" s="1155"/>
      <c r="O95" s="1155"/>
      <c r="P95" s="2688"/>
      <c r="Q95" s="504"/>
    </row>
    <row r="96" spans="1:17" ht="14.4" thickBot="1">
      <c r="A96" s="534"/>
      <c r="B96" s="543"/>
      <c r="C96" s="560"/>
      <c r="D96" s="560"/>
      <c r="E96" s="560"/>
      <c r="F96" s="560"/>
      <c r="G96" s="536"/>
      <c r="H96" s="536"/>
      <c r="I96" s="536"/>
      <c r="J96" s="536"/>
      <c r="K96" s="536"/>
      <c r="L96" s="536"/>
      <c r="M96" s="537"/>
      <c r="N96" s="1156"/>
      <c r="O96" s="1156"/>
      <c r="P96" s="2688"/>
      <c r="Q96" s="504"/>
    </row>
    <row r="97" spans="1:17" ht="14.4" thickTop="1">
      <c r="A97" s="534"/>
      <c r="B97" s="538">
        <f>B31</f>
        <v>111</v>
      </c>
      <c r="C97" s="554"/>
      <c r="D97" s="554"/>
      <c r="E97" s="554"/>
      <c r="F97" s="554"/>
      <c r="G97" s="583"/>
      <c r="H97" s="583"/>
      <c r="I97" s="583"/>
      <c r="J97" s="583"/>
      <c r="K97" s="584"/>
      <c r="L97" s="585"/>
      <c r="M97" s="586"/>
      <c r="N97" s="1155"/>
      <c r="O97" s="1155"/>
      <c r="P97" s="2688"/>
      <c r="Q97" s="504"/>
    </row>
    <row r="98" spans="1:17" ht="14.4" thickBot="1">
      <c r="A98" s="534"/>
      <c r="B98" s="543"/>
      <c r="C98" s="560"/>
      <c r="D98" s="536"/>
      <c r="E98" s="536"/>
      <c r="F98" s="536"/>
      <c r="G98" s="536"/>
      <c r="H98" s="536"/>
      <c r="I98" s="536"/>
      <c r="J98" s="536"/>
      <c r="K98" s="536"/>
      <c r="L98" s="536"/>
      <c r="M98" s="537"/>
      <c r="N98" s="1156"/>
      <c r="O98" s="1156"/>
      <c r="P98" s="2688"/>
      <c r="Q98" s="504"/>
    </row>
    <row r="99" spans="1:17" ht="14.4" thickTop="1">
      <c r="A99" s="534"/>
      <c r="B99" s="546">
        <f>B32</f>
        <v>111</v>
      </c>
      <c r="C99" s="523"/>
      <c r="D99" s="523"/>
      <c r="E99" s="523"/>
      <c r="F99" s="523"/>
      <c r="G99" s="587"/>
      <c r="H99" s="587"/>
      <c r="I99" s="587"/>
      <c r="J99" s="587"/>
      <c r="K99" s="588"/>
      <c r="L99" s="589"/>
      <c r="M99" s="590"/>
      <c r="N99" s="1155"/>
      <c r="O99" s="1155"/>
      <c r="P99" s="2688"/>
      <c r="Q99" s="504"/>
    </row>
    <row r="100" spans="1:17" ht="14.4" thickBot="1">
      <c r="A100" s="2640"/>
      <c r="B100" s="569"/>
      <c r="C100" s="570"/>
      <c r="D100" s="570"/>
      <c r="E100" s="570"/>
      <c r="F100" s="570"/>
      <c r="G100" s="591"/>
      <c r="H100" s="591"/>
      <c r="I100" s="591"/>
      <c r="J100" s="591"/>
      <c r="K100" s="591"/>
      <c r="L100" s="591"/>
      <c r="M100" s="592"/>
      <c r="N100" s="1156"/>
      <c r="O100" s="1156"/>
      <c r="P100" s="2688"/>
      <c r="Q100" s="504"/>
    </row>
    <row r="101" spans="1:17" ht="14.4">
      <c r="A101" s="527" t="s">
        <v>2564</v>
      </c>
      <c r="B101" s="528" t="s">
        <v>2613</v>
      </c>
      <c r="C101" s="530"/>
      <c r="D101" s="530"/>
      <c r="E101" s="530"/>
      <c r="F101" s="530"/>
      <c r="G101" s="530"/>
      <c r="H101" s="530"/>
      <c r="I101" s="530"/>
      <c r="J101" s="530"/>
      <c r="K101" s="531"/>
      <c r="L101" s="532"/>
      <c r="M101" s="533"/>
      <c r="N101" s="1155"/>
      <c r="O101" s="1155"/>
      <c r="P101" s="268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2615</v>
      </c>
      <c r="C106" s="554"/>
      <c r="D106" s="554"/>
      <c r="E106" s="583"/>
      <c r="F106" s="583"/>
      <c r="G106" s="583"/>
      <c r="H106" s="583"/>
      <c r="I106" s="583"/>
      <c r="J106" s="583"/>
      <c r="K106" s="584"/>
      <c r="L106" s="585"/>
      <c r="M106" s="586"/>
      <c r="N106" s="1155"/>
      <c r="O106" s="1155"/>
      <c r="P106" s="268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2617</v>
      </c>
      <c r="C108" s="554"/>
      <c r="D108" s="554"/>
      <c r="E108" s="554"/>
      <c r="F108" s="583"/>
      <c r="G108" s="583"/>
      <c r="H108" s="583"/>
      <c r="I108" s="583"/>
      <c r="J108" s="583"/>
      <c r="K108" s="584"/>
      <c r="L108" s="585"/>
      <c r="M108" s="586"/>
      <c r="N108" s="1155"/>
      <c r="O108" s="1155"/>
      <c r="P108" s="268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2618</v>
      </c>
      <c r="C115" s="554"/>
      <c r="D115" s="554"/>
      <c r="E115" s="583"/>
      <c r="F115" s="583"/>
      <c r="G115" s="583"/>
      <c r="H115" s="583"/>
      <c r="I115" s="583"/>
      <c r="J115" s="583"/>
      <c r="K115" s="584"/>
      <c r="L115" s="585"/>
      <c r="M115" s="586"/>
      <c r="N115" s="1155"/>
      <c r="O115" s="1155"/>
      <c r="P115" s="268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2619</v>
      </c>
      <c r="C117" s="554"/>
      <c r="D117" s="554"/>
      <c r="E117" s="554"/>
      <c r="F117" s="554"/>
      <c r="G117" s="554"/>
      <c r="H117" s="583"/>
      <c r="I117" s="583"/>
      <c r="J117" s="583"/>
      <c r="K117" s="584"/>
      <c r="L117" s="585"/>
      <c r="M117" s="586"/>
      <c r="N117" s="1155"/>
      <c r="O117" s="1155"/>
      <c r="P117" s="268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2702</v>
      </c>
      <c r="C119" s="583"/>
      <c r="D119" s="583"/>
      <c r="E119" s="583"/>
      <c r="F119" s="583"/>
      <c r="G119" s="583"/>
      <c r="H119" s="583"/>
      <c r="I119" s="583"/>
      <c r="J119" s="583"/>
      <c r="K119" s="583"/>
      <c r="L119" s="2693"/>
      <c r="M119" s="2694"/>
      <c r="N119" s="1156"/>
      <c r="O119" s="1156"/>
      <c r="P119" s="269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9"/>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2621</v>
      </c>
      <c r="C123" s="554"/>
      <c r="D123" s="554"/>
      <c r="E123" s="554"/>
      <c r="F123" s="583"/>
      <c r="G123" s="583"/>
      <c r="H123" s="583"/>
      <c r="I123" s="583"/>
      <c r="J123" s="583"/>
      <c r="K123" s="584"/>
      <c r="L123" s="585"/>
      <c r="M123" s="586"/>
      <c r="N123" s="1155"/>
      <c r="O123" s="1155"/>
      <c r="P123" s="268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9"/>
      <c r="Q128" s="559"/>
    </row>
    <row r="129" spans="1:17" ht="14.4" thickTop="1">
      <c r="A129" s="599"/>
      <c r="B129" s="538">
        <f>B46</f>
        <v>111</v>
      </c>
      <c r="C129" s="554"/>
      <c r="D129" s="554"/>
      <c r="E129" s="554"/>
      <c r="F129" s="554"/>
      <c r="G129" s="583"/>
      <c r="H129" s="583"/>
      <c r="I129" s="583"/>
      <c r="J129" s="583"/>
      <c r="K129" s="584"/>
      <c r="L129" s="585"/>
      <c r="M129" s="586"/>
      <c r="N129" s="1155"/>
      <c r="O129" s="1155"/>
      <c r="P129" s="2688"/>
      <c r="Q129" s="504"/>
    </row>
    <row r="130" spans="1:17" ht="14.4" thickBot="1">
      <c r="A130" s="534"/>
      <c r="B130" s="543"/>
      <c r="C130" s="560"/>
      <c r="D130" s="560"/>
      <c r="E130" s="560"/>
      <c r="F130" s="560"/>
      <c r="G130" s="536"/>
      <c r="H130" s="536"/>
      <c r="I130" s="536"/>
      <c r="J130" s="536"/>
      <c r="K130" s="536"/>
      <c r="L130" s="536"/>
      <c r="M130" s="537"/>
      <c r="N130" s="1156"/>
      <c r="O130" s="1156"/>
      <c r="P130" s="2688"/>
      <c r="Q130" s="504"/>
    </row>
    <row r="131" spans="1:17" ht="14.4" thickTop="1">
      <c r="A131" s="599"/>
      <c r="B131" s="546">
        <f>B47</f>
        <v>111</v>
      </c>
      <c r="C131" s="523"/>
      <c r="D131" s="523"/>
      <c r="E131" s="523"/>
      <c r="F131" s="523"/>
      <c r="G131" s="587"/>
      <c r="H131" s="587"/>
      <c r="I131" s="587"/>
      <c r="J131" s="587"/>
      <c r="K131" s="523"/>
      <c r="L131" s="524"/>
      <c r="M131" s="590"/>
      <c r="N131" s="1155"/>
      <c r="O131" s="1155"/>
      <c r="P131" s="2688"/>
      <c r="Q131" s="504"/>
    </row>
    <row r="132" spans="1:17" ht="14.4"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2529</v>
      </c>
      <c r="B1" s="2673" t="s">
        <v>2703</v>
      </c>
      <c r="C1" s="1622" t="s">
        <v>2531</v>
      </c>
      <c r="D1" s="1623"/>
      <c r="E1" s="1632"/>
      <c r="F1" s="2588"/>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90"/>
      <c r="D2" s="1127" t="e">
        <f ca="1">SUMIF(INDIRECT("'"&amp;F2&amp;"'"&amp;"!A:A"),"承租人权益价值",INDIRECT("'"&amp;F2&amp;"'"&amp;"!c:c"))</f>
        <v>#REF!</v>
      </c>
      <c r="E2" s="2591" t="s">
        <v>2329</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7727.4000000000015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2646</v>
      </c>
      <c r="B4" s="402"/>
      <c r="C4" s="3179" t="s">
        <v>2647</v>
      </c>
      <c r="D4" s="3180"/>
      <c r="E4" s="3181" t="s">
        <v>2648</v>
      </c>
      <c r="F4" s="3182"/>
      <c r="G4" s="3179" t="s">
        <v>2649</v>
      </c>
      <c r="H4" s="3180"/>
      <c r="I4" s="3179" t="s">
        <v>2650</v>
      </c>
      <c r="J4" s="3180"/>
      <c r="K4" s="610" t="s">
        <v>2651</v>
      </c>
      <c r="L4" s="1133"/>
      <c r="M4" s="1134"/>
      <c r="N4" s="1134"/>
      <c r="O4" s="1134"/>
      <c r="P4" s="3183" t="s">
        <v>2652</v>
      </c>
      <c r="Q4" s="3184"/>
      <c r="R4" s="3166" t="s">
        <v>2648</v>
      </c>
      <c r="S4" s="3167"/>
      <c r="T4" s="3166" t="s">
        <v>2649</v>
      </c>
      <c r="U4" s="3167"/>
      <c r="V4" s="3191" t="s">
        <v>2650</v>
      </c>
      <c r="W4" s="3191"/>
      <c r="X4" s="1815"/>
      <c r="Y4" s="3166" t="s">
        <v>2652</v>
      </c>
      <c r="Z4" s="3167"/>
      <c r="AA4" s="3161" t="s">
        <v>2648</v>
      </c>
      <c r="AB4" s="3162" t="s">
        <v>2649</v>
      </c>
      <c r="AC4" s="3161" t="s">
        <v>2650</v>
      </c>
    </row>
    <row r="5" spans="1:29">
      <c r="A5" s="404"/>
      <c r="B5" s="405"/>
      <c r="C5" s="3172" t="s">
        <v>2543</v>
      </c>
      <c r="D5" s="3173"/>
      <c r="E5" s="3170" t="s">
        <v>2544</v>
      </c>
      <c r="F5" s="3171"/>
      <c r="G5" s="3172" t="s">
        <v>2545</v>
      </c>
      <c r="H5" s="3173"/>
      <c r="I5" s="3172" t="s">
        <v>2546</v>
      </c>
      <c r="J5" s="3173"/>
      <c r="K5" s="610"/>
      <c r="L5" s="1133"/>
      <c r="M5" s="1134"/>
      <c r="N5" s="1134"/>
      <c r="O5" s="1134"/>
      <c r="P5" s="3185"/>
      <c r="Q5" s="3186"/>
      <c r="R5" s="3168"/>
      <c r="S5" s="3169"/>
      <c r="T5" s="3168"/>
      <c r="U5" s="3169"/>
      <c r="V5" s="3191"/>
      <c r="W5" s="3191"/>
      <c r="X5" s="1815"/>
      <c r="Y5" s="3168"/>
      <c r="Z5" s="3169"/>
      <c r="AA5" s="3162"/>
      <c r="AB5" s="3162"/>
      <c r="AC5" s="3162"/>
    </row>
    <row r="6" spans="1:29" ht="15" thickBot="1">
      <c r="A6" s="406"/>
      <c r="B6" s="407"/>
      <c r="C6" s="3174" t="s">
        <v>2547</v>
      </c>
      <c r="D6" s="3175"/>
      <c r="E6" s="3176" t="s">
        <v>2547</v>
      </c>
      <c r="F6" s="3177"/>
      <c r="G6" s="3174" t="s">
        <v>2547</v>
      </c>
      <c r="H6" s="3175"/>
      <c r="I6" s="3174" t="s">
        <v>2547</v>
      </c>
      <c r="J6" s="3175"/>
      <c r="K6" s="610" t="s">
        <v>2548</v>
      </c>
      <c r="L6" s="1133"/>
      <c r="M6" s="1134"/>
      <c r="N6" s="1134"/>
      <c r="O6" s="1134"/>
      <c r="P6" s="3187"/>
      <c r="Q6" s="3188"/>
      <c r="R6" s="3168"/>
      <c r="S6" s="3169"/>
      <c r="T6" s="3189"/>
      <c r="U6" s="3190"/>
      <c r="V6" s="3191"/>
      <c r="W6" s="3191"/>
      <c r="X6" s="1815"/>
      <c r="Y6" s="3189"/>
      <c r="Z6" s="3190"/>
      <c r="AA6" s="3163"/>
      <c r="AB6" s="3163"/>
      <c r="AC6" s="3163"/>
    </row>
    <row r="7" spans="1:29" s="117" customFormat="1" ht="15" thickBot="1">
      <c r="A7" s="408" t="s">
        <v>2549</v>
      </c>
      <c r="B7" s="409"/>
      <c r="C7" s="410">
        <f>'数据-取费表'!B2</f>
        <v>43269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4" t="s">
        <v>2550</v>
      </c>
      <c r="Q7" s="3192"/>
      <c r="R7" s="770" t="s">
        <v>17</v>
      </c>
      <c r="S7" s="771">
        <f t="shared" ref="S7:S15" si="0">F7</f>
        <v>0</v>
      </c>
      <c r="T7" s="770" t="s">
        <v>17</v>
      </c>
      <c r="U7" s="771">
        <f t="shared" ref="U7:U15" si="1">H7</f>
        <v>0</v>
      </c>
      <c r="V7" s="770" t="s">
        <v>17</v>
      </c>
      <c r="W7" s="771">
        <f t="shared" ref="W7:W15" si="2">J7</f>
        <v>0</v>
      </c>
      <c r="X7" s="772"/>
      <c r="Y7" s="3164" t="s">
        <v>2550</v>
      </c>
      <c r="Z7" s="3165"/>
      <c r="AA7" s="773" t="e">
        <f>D7/F7</f>
        <v>#DIV/0!</v>
      </c>
      <c r="AB7" s="773" t="e">
        <f>D7/H7</f>
        <v>#DIV/0!</v>
      </c>
      <c r="AC7" s="773"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4" t="s">
        <v>2553</v>
      </c>
      <c r="Q8" s="3165"/>
      <c r="R8" s="770" t="s">
        <v>17</v>
      </c>
      <c r="S8" s="771">
        <f t="shared" si="0"/>
        <v>0</v>
      </c>
      <c r="T8" s="770" t="s">
        <v>17</v>
      </c>
      <c r="U8" s="771">
        <f t="shared" si="1"/>
        <v>0</v>
      </c>
      <c r="V8" s="770" t="s">
        <v>17</v>
      </c>
      <c r="W8" s="771">
        <f t="shared" si="2"/>
        <v>0</v>
      </c>
      <c r="X8" s="772"/>
      <c r="Y8" s="3164" t="s">
        <v>2553</v>
      </c>
      <c r="Z8" s="3165"/>
      <c r="AA8" s="773" t="e">
        <f t="shared" ref="AA8:AA40" si="3">D8/F8</f>
        <v>#DIV/0!</v>
      </c>
      <c r="AB8" s="773" t="e">
        <f t="shared" ref="AB8:AB40" si="4">D8/H8</f>
        <v>#DIV/0!</v>
      </c>
      <c r="AC8" s="773"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6" t="s">
        <v>2556</v>
      </c>
      <c r="Q9" s="1797" t="str">
        <f t="shared" ref="Q9:Q15" si="6">B9</f>
        <v>用途</v>
      </c>
      <c r="R9" s="770" t="s">
        <v>17</v>
      </c>
      <c r="S9" s="771">
        <f t="shared" si="0"/>
        <v>100</v>
      </c>
      <c r="T9" s="770" t="s">
        <v>17</v>
      </c>
      <c r="U9" s="771">
        <f t="shared" si="1"/>
        <v>100</v>
      </c>
      <c r="V9" s="770" t="s">
        <v>17</v>
      </c>
      <c r="W9" s="771">
        <f t="shared" si="2"/>
        <v>100</v>
      </c>
      <c r="X9" s="772"/>
      <c r="Y9" s="3011"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6"/>
      <c r="Q10" s="179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6"/>
      <c r="Q11" s="1797"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96"/>
      <c r="Q12" s="179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96"/>
      <c r="Q13" s="179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6"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96"/>
      <c r="Q14" s="1797">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69">
      <c r="A15" s="440" t="s">
        <v>2560</v>
      </c>
      <c r="B15" s="69" t="s">
        <v>2704</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8" t="s">
        <v>2561</v>
      </c>
      <c r="Q15" s="1812" t="str">
        <f t="shared" si="6"/>
        <v>产业集聚程度</v>
      </c>
      <c r="R15" s="774" t="s">
        <v>17</v>
      </c>
      <c r="S15" s="775">
        <f t="shared" si="0"/>
        <v>100</v>
      </c>
      <c r="T15" s="774" t="s">
        <v>17</v>
      </c>
      <c r="U15" s="775">
        <f t="shared" si="1"/>
        <v>100</v>
      </c>
      <c r="V15" s="774" t="s">
        <v>17</v>
      </c>
      <c r="W15" s="775">
        <f t="shared" si="2"/>
        <v>100</v>
      </c>
      <c r="X15" s="1815"/>
      <c r="Y15" s="3198"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9"/>
      <c r="Q16" s="1812"/>
      <c r="R16" s="774"/>
      <c r="S16" s="775"/>
      <c r="T16" s="774"/>
      <c r="U16" s="775"/>
      <c r="V16" s="774"/>
      <c r="W16" s="775"/>
      <c r="X16" s="1815"/>
      <c r="Y16" s="3199"/>
      <c r="Z16" s="1816"/>
      <c r="AA16" s="1813">
        <v>1</v>
      </c>
      <c r="AB16" s="1813">
        <v>1</v>
      </c>
      <c r="AC16" s="1813">
        <v>1</v>
      </c>
    </row>
    <row r="17" spans="1:29" ht="96.6">
      <c r="A17" s="428"/>
      <c r="B17" s="451" t="s">
        <v>2099</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9"/>
      <c r="Q17" s="1812" t="str">
        <f>B17</f>
        <v>交通便捷度</v>
      </c>
      <c r="R17" s="774" t="s">
        <v>17</v>
      </c>
      <c r="S17" s="775">
        <f>F17</f>
        <v>100</v>
      </c>
      <c r="T17" s="774" t="s">
        <v>17</v>
      </c>
      <c r="U17" s="775">
        <f>H17</f>
        <v>100</v>
      </c>
      <c r="V17" s="774" t="s">
        <v>17</v>
      </c>
      <c r="W17" s="775">
        <f>J17</f>
        <v>100</v>
      </c>
      <c r="X17" s="1815"/>
      <c r="Y17" s="3199"/>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3"/>
      <c r="M18" s="1134"/>
      <c r="N18" s="1134"/>
      <c r="O18" s="1142"/>
      <c r="P18" s="3199"/>
      <c r="Q18" s="1812"/>
      <c r="R18" s="774"/>
      <c r="S18" s="775"/>
      <c r="T18" s="774"/>
      <c r="U18" s="775"/>
      <c r="V18" s="774"/>
      <c r="W18" s="775"/>
      <c r="X18" s="1815"/>
      <c r="Y18" s="3199"/>
      <c r="Z18" s="1816"/>
      <c r="AA18" s="1813">
        <v>1</v>
      </c>
      <c r="AB18" s="1813">
        <v>1</v>
      </c>
      <c r="AC18" s="1813">
        <v>1</v>
      </c>
    </row>
    <row r="19" spans="1:29" ht="41.4">
      <c r="A19" s="428"/>
      <c r="B19" s="451" t="s">
        <v>2689</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9"/>
      <c r="Q19" s="1812" t="str">
        <f>B19</f>
        <v>公共配套设施</v>
      </c>
      <c r="R19" s="774" t="s">
        <v>17</v>
      </c>
      <c r="S19" s="775">
        <f>F19</f>
        <v>100</v>
      </c>
      <c r="T19" s="774" t="s">
        <v>17</v>
      </c>
      <c r="U19" s="775">
        <f>H19</f>
        <v>100</v>
      </c>
      <c r="V19" s="774" t="s">
        <v>17</v>
      </c>
      <c r="W19" s="775">
        <f>J19</f>
        <v>100</v>
      </c>
      <c r="X19" s="1815"/>
      <c r="Y19" s="3199"/>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3"/>
      <c r="M20" s="1134"/>
      <c r="N20" s="1134"/>
      <c r="O20" s="1142"/>
      <c r="P20" s="3199"/>
      <c r="Q20" s="1812"/>
      <c r="R20" s="774"/>
      <c r="S20" s="775"/>
      <c r="T20" s="774"/>
      <c r="U20" s="775"/>
      <c r="V20" s="774"/>
      <c r="W20" s="775"/>
      <c r="X20" s="1815"/>
      <c r="Y20" s="3199"/>
      <c r="Z20" s="1816"/>
      <c r="AA20" s="1813">
        <v>1</v>
      </c>
      <c r="AB20" s="1813">
        <v>1</v>
      </c>
      <c r="AC20" s="1813">
        <v>1</v>
      </c>
    </row>
    <row r="21" spans="1:29" ht="41.4">
      <c r="A21" s="428"/>
      <c r="B21" s="1387" t="s">
        <v>2690</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9"/>
      <c r="Q21" s="1812" t="str">
        <f>B21</f>
        <v>基础设施水平</v>
      </c>
      <c r="R21" s="774" t="s">
        <v>17</v>
      </c>
      <c r="S21" s="775">
        <f>F21</f>
        <v>100</v>
      </c>
      <c r="T21" s="774" t="s">
        <v>17</v>
      </c>
      <c r="U21" s="775">
        <f>H21</f>
        <v>100</v>
      </c>
      <c r="V21" s="774" t="s">
        <v>17</v>
      </c>
      <c r="W21" s="775">
        <f>J21</f>
        <v>100</v>
      </c>
      <c r="X21" s="1815"/>
      <c r="Y21" s="3199"/>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9"/>
      <c r="G22" s="447"/>
      <c r="H22" s="448"/>
      <c r="I22" s="447"/>
      <c r="J22" s="448"/>
      <c r="K22" s="1386"/>
      <c r="L22" s="1143"/>
      <c r="M22" s="1134"/>
      <c r="N22" s="1134"/>
      <c r="O22" s="1142"/>
      <c r="P22" s="3199"/>
      <c r="Q22" s="1812"/>
      <c r="R22" s="774"/>
      <c r="S22" s="775"/>
      <c r="T22" s="774"/>
      <c r="U22" s="775"/>
      <c r="V22" s="774"/>
      <c r="W22" s="775"/>
      <c r="X22" s="1815"/>
      <c r="Y22" s="3199"/>
      <c r="Z22" s="1816"/>
      <c r="AA22" s="1813">
        <v>1</v>
      </c>
      <c r="AB22" s="1813">
        <v>1</v>
      </c>
      <c r="AC22" s="1813">
        <v>1</v>
      </c>
    </row>
    <row r="23" spans="1:29" ht="82.8">
      <c r="A23" s="428"/>
      <c r="B23" s="451" t="s">
        <v>2691</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9"/>
      <c r="Q23" s="1812" t="str">
        <f>B23</f>
        <v>环境质量</v>
      </c>
      <c r="R23" s="774" t="s">
        <v>17</v>
      </c>
      <c r="S23" s="775">
        <f>F23</f>
        <v>100</v>
      </c>
      <c r="T23" s="774" t="s">
        <v>17</v>
      </c>
      <c r="U23" s="775">
        <f>H23</f>
        <v>100</v>
      </c>
      <c r="V23" s="774" t="s">
        <v>17</v>
      </c>
      <c r="W23" s="775">
        <f>J23</f>
        <v>100</v>
      </c>
      <c r="X23" s="1815"/>
      <c r="Y23" s="3199"/>
      <c r="Z23" s="1816" t="str">
        <f>Q23</f>
        <v>环境质量</v>
      </c>
      <c r="AA23" s="1813">
        <f t="shared" si="3"/>
        <v>1</v>
      </c>
      <c r="AB23" s="1813">
        <f t="shared" si="4"/>
        <v>1</v>
      </c>
      <c r="AC23" s="1813">
        <f t="shared" si="5"/>
        <v>1</v>
      </c>
    </row>
    <row r="24" spans="1:29" ht="15">
      <c r="A24" s="428"/>
      <c r="B24" s="1387"/>
      <c r="C24" s="447"/>
      <c r="D24" s="448"/>
      <c r="E24" s="2609"/>
      <c r="F24" s="449"/>
      <c r="G24" s="2608"/>
      <c r="H24" s="448"/>
      <c r="I24" s="2609"/>
      <c r="J24" s="448"/>
      <c r="K24" s="615"/>
      <c r="L24" s="1143"/>
      <c r="M24" s="1134"/>
      <c r="N24" s="1134"/>
      <c r="O24" s="1142"/>
      <c r="P24" s="3199"/>
      <c r="Q24" s="1812"/>
      <c r="R24" s="774"/>
      <c r="S24" s="775"/>
      <c r="T24" s="774"/>
      <c r="U24" s="775"/>
      <c r="V24" s="774"/>
      <c r="W24" s="775"/>
      <c r="X24" s="1815"/>
      <c r="Y24" s="3199"/>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9"/>
      <c r="Q25" s="1812">
        <f>B25</f>
        <v>111</v>
      </c>
      <c r="R25" s="774" t="s">
        <v>17</v>
      </c>
      <c r="S25" s="775">
        <f>F25</f>
        <v>100</v>
      </c>
      <c r="T25" s="774" t="s">
        <v>17</v>
      </c>
      <c r="U25" s="775">
        <f>H25</f>
        <v>100</v>
      </c>
      <c r="V25" s="774" t="s">
        <v>17</v>
      </c>
      <c r="W25" s="775">
        <f>J25</f>
        <v>100</v>
      </c>
      <c r="X25" s="1815"/>
      <c r="Y25" s="3199"/>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9"/>
      <c r="Q26" s="1812">
        <f t="shared" ref="Q26:Q40" si="11">B26</f>
        <v>111</v>
      </c>
      <c r="R26" s="774" t="s">
        <v>17</v>
      </c>
      <c r="S26" s="775">
        <f>F26</f>
        <v>100</v>
      </c>
      <c r="T26" s="774" t="s">
        <v>17</v>
      </c>
      <c r="U26" s="775">
        <f>H26</f>
        <v>100</v>
      </c>
      <c r="V26" s="774" t="s">
        <v>17</v>
      </c>
      <c r="W26" s="775">
        <f>J26</f>
        <v>100</v>
      </c>
      <c r="X26" s="1815"/>
      <c r="Y26" s="3199"/>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9"/>
      <c r="Q27" s="1797">
        <f t="shared" si="11"/>
        <v>111</v>
      </c>
      <c r="R27" s="770" t="s">
        <v>17</v>
      </c>
      <c r="S27" s="771">
        <f>F27</f>
        <v>100</v>
      </c>
      <c r="T27" s="770" t="s">
        <v>17</v>
      </c>
      <c r="U27" s="771">
        <f>H27</f>
        <v>100</v>
      </c>
      <c r="V27" s="770" t="s">
        <v>17</v>
      </c>
      <c r="W27" s="771">
        <f>J27</f>
        <v>100</v>
      </c>
      <c r="X27" s="772"/>
      <c r="Y27" s="3199"/>
      <c r="Z27" s="55">
        <f>Q27</f>
        <v>111</v>
      </c>
      <c r="AA27" s="1813">
        <f>D27/F27</f>
        <v>1</v>
      </c>
      <c r="AB27" s="1813">
        <f>D27/H27</f>
        <v>1</v>
      </c>
      <c r="AC27" s="1813">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9"/>
      <c r="Q28" s="1812">
        <f t="shared" si="11"/>
        <v>111</v>
      </c>
      <c r="R28" s="774" t="s">
        <v>17</v>
      </c>
      <c r="S28" s="775">
        <f t="shared" ref="S28:S40" si="12">F28</f>
        <v>100</v>
      </c>
      <c r="T28" s="774" t="s">
        <v>17</v>
      </c>
      <c r="U28" s="775">
        <f t="shared" ref="U28:U40" si="13">H28</f>
        <v>100</v>
      </c>
      <c r="V28" s="774" t="s">
        <v>17</v>
      </c>
      <c r="W28" s="775">
        <f t="shared" ref="W28:W40" si="14">J28</f>
        <v>100</v>
      </c>
      <c r="X28" s="1815"/>
      <c r="Y28" s="3199"/>
      <c r="Z28" s="1816">
        <f t="shared" ref="Z28:Z40" si="15">Q28</f>
        <v>111</v>
      </c>
      <c r="AA28" s="1813">
        <f t="shared" si="3"/>
        <v>1</v>
      </c>
      <c r="AB28" s="1813">
        <f t="shared" si="4"/>
        <v>1</v>
      </c>
      <c r="AC28" s="1813">
        <f t="shared" si="5"/>
        <v>1</v>
      </c>
    </row>
    <row r="29" spans="1:29" ht="30">
      <c r="A29" s="466" t="s">
        <v>2564</v>
      </c>
      <c r="B29" s="71" t="s">
        <v>2694</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22" t="s">
        <v>2566</v>
      </c>
      <c r="Q29" s="1812" t="str">
        <f t="shared" si="11"/>
        <v>建筑类型</v>
      </c>
      <c r="R29" s="774" t="s">
        <v>17</v>
      </c>
      <c r="S29" s="775">
        <f t="shared" si="12"/>
        <v>100</v>
      </c>
      <c r="T29" s="774" t="s">
        <v>17</v>
      </c>
      <c r="U29" s="775">
        <f t="shared" si="13"/>
        <v>100</v>
      </c>
      <c r="V29" s="774" t="s">
        <v>17</v>
      </c>
      <c r="W29" s="775">
        <f t="shared" si="14"/>
        <v>100</v>
      </c>
      <c r="X29" s="1815"/>
      <c r="Y29" s="3203"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3"/>
      <c r="Q31" s="1812" t="str">
        <f t="shared" si="11"/>
        <v>建筑结构</v>
      </c>
      <c r="R31" s="774" t="s">
        <v>17</v>
      </c>
      <c r="S31" s="775">
        <f t="shared" si="12"/>
        <v>100</v>
      </c>
      <c r="T31" s="774" t="s">
        <v>17</v>
      </c>
      <c r="U31" s="775">
        <f t="shared" si="13"/>
        <v>100</v>
      </c>
      <c r="V31" s="774" t="s">
        <v>17</v>
      </c>
      <c r="W31" s="775">
        <f t="shared" si="14"/>
        <v>100</v>
      </c>
      <c r="X31" s="1815"/>
      <c r="Y31" s="3203"/>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3"/>
      <c r="Q32" s="1812" t="str">
        <f t="shared" si="11"/>
        <v>公共部分装修</v>
      </c>
      <c r="R32" s="774" t="s">
        <v>17</v>
      </c>
      <c r="S32" s="775">
        <f t="shared" si="12"/>
        <v>100</v>
      </c>
      <c r="T32" s="774" t="s">
        <v>17</v>
      </c>
      <c r="U32" s="775">
        <f t="shared" si="13"/>
        <v>100</v>
      </c>
      <c r="V32" s="774" t="s">
        <v>17</v>
      </c>
      <c r="W32" s="775">
        <f t="shared" si="14"/>
        <v>100</v>
      </c>
      <c r="X32" s="1815"/>
      <c r="Y32" s="3203"/>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3"/>
      <c r="Q33" s="1812" t="str">
        <f t="shared" si="11"/>
        <v>成新度</v>
      </c>
      <c r="R33" s="774" t="s">
        <v>17</v>
      </c>
      <c r="S33" s="775" t="e">
        <f t="shared" si="12"/>
        <v>#N/A</v>
      </c>
      <c r="T33" s="774" t="s">
        <v>17</v>
      </c>
      <c r="U33" s="775" t="e">
        <f t="shared" si="13"/>
        <v>#N/A</v>
      </c>
      <c r="V33" s="774" t="s">
        <v>17</v>
      </c>
      <c r="W33" s="775" t="e">
        <f t="shared" si="14"/>
        <v>#N/A</v>
      </c>
      <c r="X33" s="1815"/>
      <c r="Y33" s="3203"/>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3"/>
      <c r="Q34" s="1797"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3" t="s">
        <v>2566</v>
      </c>
      <c r="Q35" s="1812" t="str">
        <f t="shared" si="11"/>
        <v>市政基础设施</v>
      </c>
      <c r="R35" s="774" t="s">
        <v>17</v>
      </c>
      <c r="S35" s="775">
        <f t="shared" si="12"/>
        <v>100</v>
      </c>
      <c r="T35" s="774" t="s">
        <v>17</v>
      </c>
      <c r="U35" s="775">
        <f t="shared" si="13"/>
        <v>100</v>
      </c>
      <c r="V35" s="774" t="s">
        <v>17</v>
      </c>
      <c r="W35" s="775">
        <f t="shared" si="14"/>
        <v>100</v>
      </c>
      <c r="X35" s="1815"/>
      <c r="Y35" s="3203"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3"/>
      <c r="Q36" s="1812" t="str">
        <f t="shared" si="11"/>
        <v>内部装修</v>
      </c>
      <c r="R36" s="774" t="s">
        <v>17</v>
      </c>
      <c r="S36" s="775">
        <f t="shared" si="12"/>
        <v>100</v>
      </c>
      <c r="T36" s="774" t="s">
        <v>17</v>
      </c>
      <c r="U36" s="775">
        <f t="shared" si="13"/>
        <v>100</v>
      </c>
      <c r="V36" s="774" t="s">
        <v>17</v>
      </c>
      <c r="W36" s="775">
        <f t="shared" si="14"/>
        <v>100</v>
      </c>
      <c r="X36" s="1815"/>
      <c r="Y36" s="3203"/>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3"/>
      <c r="Q37" s="1812" t="str">
        <f t="shared" si="11"/>
        <v>内部装修状况</v>
      </c>
      <c r="R37" s="774" t="s">
        <v>17</v>
      </c>
      <c r="S37" s="775">
        <f t="shared" si="12"/>
        <v>100</v>
      </c>
      <c r="T37" s="774" t="s">
        <v>17</v>
      </c>
      <c r="U37" s="775">
        <f t="shared" si="13"/>
        <v>100</v>
      </c>
      <c r="V37" s="774" t="s">
        <v>17</v>
      </c>
      <c r="W37" s="775">
        <f t="shared" si="14"/>
        <v>100</v>
      </c>
      <c r="X37" s="1815"/>
      <c r="Y37" s="3203"/>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3"/>
      <c r="Q39" s="1812">
        <f t="shared" si="11"/>
        <v>111</v>
      </c>
      <c r="R39" s="774" t="s">
        <v>17</v>
      </c>
      <c r="S39" s="775">
        <f t="shared" si="12"/>
        <v>100</v>
      </c>
      <c r="T39" s="774" t="s">
        <v>17</v>
      </c>
      <c r="U39" s="775">
        <f t="shared" si="13"/>
        <v>100</v>
      </c>
      <c r="V39" s="774" t="s">
        <v>17</v>
      </c>
      <c r="W39" s="775">
        <f t="shared" si="14"/>
        <v>100</v>
      </c>
      <c r="X39" s="1815"/>
      <c r="Y39" s="3203"/>
      <c r="Z39" s="1816">
        <f t="shared" si="15"/>
        <v>111</v>
      </c>
      <c r="AA39" s="1813">
        <f t="shared" si="3"/>
        <v>1</v>
      </c>
      <c r="AB39" s="1813">
        <f t="shared" si="4"/>
        <v>1</v>
      </c>
      <c r="AC39" s="1813">
        <f t="shared" si="5"/>
        <v>1</v>
      </c>
    </row>
    <row r="40" spans="1:29" ht="15.6"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4"/>
      <c r="Q40" s="1812">
        <f t="shared" si="11"/>
        <v>111</v>
      </c>
      <c r="R40" s="774" t="s">
        <v>17</v>
      </c>
      <c r="S40" s="775">
        <f t="shared" si="12"/>
        <v>100</v>
      </c>
      <c r="T40" s="774" t="s">
        <v>17</v>
      </c>
      <c r="U40" s="775">
        <f t="shared" si="13"/>
        <v>100</v>
      </c>
      <c r="V40" s="774" t="s">
        <v>17</v>
      </c>
      <c r="W40" s="775">
        <f t="shared" si="14"/>
        <v>100</v>
      </c>
      <c r="X40" s="1815"/>
      <c r="Y40" s="3204"/>
      <c r="Z40" s="1816">
        <f t="shared" si="15"/>
        <v>111</v>
      </c>
      <c r="AA40" s="1813">
        <f t="shared" si="3"/>
        <v>1</v>
      </c>
      <c r="AB40" s="1813">
        <f t="shared" si="4"/>
        <v>1</v>
      </c>
      <c r="AC40" s="1813">
        <f t="shared" si="5"/>
        <v>1</v>
      </c>
    </row>
    <row r="41" spans="1:29" ht="14.4">
      <c r="A41" s="479" t="s">
        <v>2578</v>
      </c>
      <c r="B41" s="480"/>
      <c r="C41" s="1409" t="s">
        <v>1</v>
      </c>
      <c r="D41" s="1410"/>
      <c r="E41" s="1411"/>
      <c r="F41" s="1412"/>
      <c r="G41" s="1413"/>
      <c r="H41" s="1414"/>
      <c r="I41" s="1411"/>
      <c r="J41" s="1414"/>
      <c r="K41" s="783"/>
      <c r="L41" s="1146"/>
      <c r="M41" s="1147"/>
      <c r="N41" s="1134"/>
      <c r="O41" s="1147"/>
      <c r="P41" s="3196" t="str">
        <f>A41</f>
        <v>成交单价（元/平方米）</v>
      </c>
      <c r="Q41" s="3196"/>
      <c r="R41" s="3197">
        <f>E41</f>
        <v>0</v>
      </c>
      <c r="S41" s="3197"/>
      <c r="T41" s="3197">
        <f>G41</f>
        <v>0</v>
      </c>
      <c r="U41" s="3197"/>
      <c r="V41" s="3197">
        <f>I41</f>
        <v>0</v>
      </c>
      <c r="W41" s="3197"/>
      <c r="X41" s="759"/>
      <c r="Y41" s="781"/>
      <c r="Z41" s="759"/>
      <c r="AA41" s="759"/>
      <c r="AB41" s="759"/>
      <c r="AC41" s="759"/>
    </row>
    <row r="42" spans="1:29" ht="1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9"/>
      <c r="Y42" s="759"/>
      <c r="Z42" s="759"/>
      <c r="AA42" s="759"/>
      <c r="AB42" s="759"/>
      <c r="AC42" s="759"/>
    </row>
    <row r="43" spans="1:29" ht="15" thickBot="1">
      <c r="A43" s="492" t="s">
        <v>2671</v>
      </c>
      <c r="B43" s="493"/>
      <c r="C43" s="1419" t="e">
        <f>R43</f>
        <v>#DIV/0!</v>
      </c>
      <c r="D43" s="1419"/>
      <c r="E43" s="1419"/>
      <c r="F43" s="1419"/>
      <c r="G43" s="1419"/>
      <c r="H43" s="1419"/>
      <c r="I43" s="1419"/>
      <c r="J43" s="1419"/>
      <c r="K43" s="785"/>
      <c r="L43" s="1146"/>
      <c r="M43" s="1147"/>
      <c r="N43" s="1147"/>
      <c r="O43" s="1147"/>
      <c r="P43" s="3193" t="str">
        <f>A43</f>
        <v>估价对象XX用房的比较价值（楼面单价，元/平方米）</v>
      </c>
      <c r="Q43" s="3194"/>
      <c r="R43" s="3195" t="e">
        <f>IF(F1="售价",ROUND(AVERAGE(R42:V42),0),ROUND(AVERAGE(R42:V42),1))</f>
        <v>#DIV/0!</v>
      </c>
      <c r="S43" s="3195"/>
      <c r="T43" s="3195"/>
      <c r="U43" s="3195"/>
      <c r="V43" s="3195"/>
      <c r="W43" s="319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2675</v>
      </c>
      <c r="B51" s="759"/>
      <c r="C51" s="764"/>
      <c r="D51" s="764"/>
      <c r="E51" s="764"/>
      <c r="F51" s="765"/>
      <c r="G51" s="765"/>
      <c r="H51" s="764"/>
      <c r="I51" s="764"/>
      <c r="J51" s="764"/>
      <c r="K51" s="1163"/>
      <c r="L51" s="1164"/>
      <c r="M51" s="1162"/>
      <c r="N51" s="1162"/>
      <c r="O51" s="1162"/>
      <c r="P51" s="503"/>
      <c r="Q51" s="504"/>
    </row>
    <row r="52" spans="1:17" s="508" customFormat="1" ht="14.4">
      <c r="A52" s="505" t="s">
        <v>2549</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c r="A53" s="509"/>
      <c r="B53" s="510"/>
      <c r="C53" s="1575">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2589</v>
      </c>
      <c r="B57" s="528" t="s">
        <v>2555</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0"/>
      <c r="B87" s="569"/>
      <c r="C87" s="570"/>
      <c r="D87" s="570"/>
      <c r="E87" s="570"/>
      <c r="F87" s="570"/>
      <c r="G87" s="591"/>
      <c r="H87" s="591"/>
      <c r="I87" s="591"/>
      <c r="J87" s="591"/>
      <c r="K87" s="591"/>
      <c r="L87" s="591"/>
      <c r="M87" s="592"/>
      <c r="N87" s="1156"/>
      <c r="O87" s="1156"/>
      <c r="P87" s="45"/>
      <c r="Q87" s="504"/>
    </row>
    <row r="88" spans="1:17" ht="14.4">
      <c r="A88" s="527" t="s">
        <v>2564</v>
      </c>
      <c r="B88" s="528" t="s">
        <v>2613</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1611</v>
      </c>
    </row>
    <row r="2" spans="1:1">
      <c r="A2" s="1948"/>
    </row>
    <row r="3" spans="1:1" ht="17.399999999999999">
      <c r="A3" s="1949" t="str">
        <f>项目基本情况!B5&amp;"："</f>
        <v>北京市国通资产管理有限公司：</v>
      </c>
    </row>
    <row r="4" spans="1:1" ht="34.799999999999997">
      <c r="A4" s="1950" t="str">
        <f>"受贵公司委托，我公司对"&amp;项目基本情况!S1&amp;"进行了预评估。"</f>
        <v>受贵公司委托，我公司对北京市丰台区右安门外玉林里45号楼房地产抵押价值进行了预评估。</v>
      </c>
    </row>
    <row r="5" spans="1:1" ht="17.399999999999999">
      <c r="A5" s="1951" t="s">
        <v>1612</v>
      </c>
    </row>
    <row r="6" spans="1:1" ht="17.399999999999999">
      <c r="A6" s="1952" t="s">
        <v>1613</v>
      </c>
    </row>
    <row r="7" spans="1:1" ht="17.399999999999999">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右安门外玉林里45号楼房地产，为北京市国通资产管理有限公司所有。根据《国有土地使用证》[]，估价对象（分摊）出让国有建设用地使用权面积为1742.42平方米。根据《房屋所有权证》[]、《测绘报告》[]，估价对象建筑面积为7727.4平方米。</v>
      </c>
    </row>
    <row r="8" spans="1:1" ht="54.6">
      <c r="A8" s="1953" t="s">
        <v>1614</v>
      </c>
    </row>
    <row r="9" spans="1:1" ht="17.399999999999999">
      <c r="A9" s="1952" t="s">
        <v>1615</v>
      </c>
    </row>
    <row r="10" spans="1:1" ht="17.399999999999999">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右安门外玉林里45号楼房地产,为北京市国通资产管理有限公司开发建设的，该项目尚在开发建设中。根据《国有土地使用证》[]，估价对象（分摊）出让国有建设用地使用权面积为1742.42平方米。根据《房屋所有权证》[]、《测绘报告》[]，估价对象规划建筑面积为7727.4平方米。</v>
      </c>
    </row>
    <row r="11" spans="1:1" ht="72">
      <c r="A11" s="1953" t="s">
        <v>1616</v>
      </c>
    </row>
    <row r="12" spans="1:1" ht="17.399999999999999">
      <c r="A12" s="1951" t="s">
        <v>1617</v>
      </c>
    </row>
    <row r="13" spans="1:1" ht="38.25" customHeight="1">
      <c r="A13" s="1954" t="str">
        <f>IF(项目基本情况!B8="抵押",IF(项目基本情况!B5=项目基本情况!B6,定义!C51,定义!B51),定义!D51)</f>
        <v>为估价委托人在向北京农商银行办理贷款手续过程中，确定房地产抵押贷款额度提供参考依据而评估房地产抵押价值。</v>
      </c>
    </row>
    <row r="14" spans="1:1" ht="17.399999999999999">
      <c r="A14" s="1955" t="s">
        <v>1618</v>
      </c>
    </row>
    <row r="15" spans="1:1" ht="17.399999999999999">
      <c r="A15" s="1956" t="str">
        <f>TEXT(项目基本情况!D3,"yyyy年m月d日;;")&amp;IF(项目基本情况!D3=项目基本情况!B3,"（评估专业人员实地查勘之日）","")</f>
        <v>2018年6月18日（评估专业人员实地查勘之日）</v>
      </c>
    </row>
    <row r="16" spans="1:1" ht="17.399999999999999">
      <c r="A16" s="1955" t="s">
        <v>1619</v>
      </c>
    </row>
    <row r="17" spans="1:1" ht="69.599999999999994">
      <c r="A17" s="1950" t="s">
        <v>1620</v>
      </c>
    </row>
    <row r="18" spans="1:1" ht="52.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18日，估价对象规划用途为综合楼，土地取得方式为出让，出让国有建设用地使用权剩余土地使用年限为26.43，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楼，实际开发程度为宗地红线外“七通”（即通路、通电、通讯、通上水、通下水、通热、）、红线内场地平整条件下，剩余土地使用年限为26.43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0" t="str">
        <f>IF(项目基本情况!B9="房地产市场价值","——",IF(项目基本情况!E9="——","",定义!C57))</f>
        <v/>
      </c>
    </row>
    <row r="23" spans="1:1" ht="17.399999999999999">
      <c r="A23" s="1955" t="s">
        <v>1609</v>
      </c>
    </row>
    <row r="24" spans="1:1" ht="17.399999999999999">
      <c r="A24" s="1957" t="str">
        <f>"本次评估采用的主估价方法为"&amp;结果表!K4&amp;"和"&amp;结果表!L4&amp;"。"</f>
        <v>本次评估采用的主估价方法为成本法和收益法。</v>
      </c>
    </row>
    <row r="25" spans="1:1" ht="17.399999999999999">
      <c r="A25" s="1957"/>
    </row>
    <row r="26" spans="1:1" ht="17.399999999999999">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2708</v>
      </c>
      <c r="B1" s="1621"/>
      <c r="C1" s="1622" t="s">
        <v>2531</v>
      </c>
      <c r="D1" s="1623"/>
      <c r="E1" s="1624"/>
      <c r="F1" s="2588"/>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t="e">
        <f ca="1">IF(C2="——",IF(B37="元/平方米",ROUND(C39*D3/10000,0),ROUND(F3*C39/10000,0)),IF(B37="元/平方米",ROUND(C39*D3/10000,0),ROUND(F3*C39/10000,0))-D2)</f>
        <v>#DIV/0!</v>
      </c>
      <c r="C2" s="2590"/>
      <c r="D2" s="1127" t="e">
        <f ca="1">SUMIF(INDIRECT("'"&amp;F2&amp;"'"&amp;"!A:A"),"承租人权益价值",INDIRECT("'"&amp;F2&amp;"'"&amp;"!c:c"))</f>
        <v>#REF!</v>
      </c>
      <c r="E2" s="2591" t="s">
        <v>2329</v>
      </c>
      <c r="F2" s="2592"/>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4.4">
      <c r="A4" s="401" t="s">
        <v>2646</v>
      </c>
      <c r="B4" s="402"/>
      <c r="C4" s="3179" t="s">
        <v>2647</v>
      </c>
      <c r="D4" s="3180"/>
      <c r="E4" s="3181" t="s">
        <v>2648</v>
      </c>
      <c r="F4" s="3182"/>
      <c r="G4" s="3179" t="s">
        <v>2649</v>
      </c>
      <c r="H4" s="3180"/>
      <c r="I4" s="3179" t="s">
        <v>2650</v>
      </c>
      <c r="J4" s="3180"/>
      <c r="K4" s="610" t="s">
        <v>2651</v>
      </c>
      <c r="L4" s="1133"/>
      <c r="M4" s="1134"/>
      <c r="N4" s="1134"/>
      <c r="O4" s="1134"/>
      <c r="P4" s="3183" t="s">
        <v>2652</v>
      </c>
      <c r="Q4" s="3184"/>
      <c r="R4" s="3166" t="s">
        <v>2648</v>
      </c>
      <c r="S4" s="3167"/>
      <c r="T4" s="3166" t="s">
        <v>2649</v>
      </c>
      <c r="U4" s="3167"/>
      <c r="V4" s="3191" t="s">
        <v>2650</v>
      </c>
      <c r="W4" s="3191"/>
      <c r="X4" s="1815"/>
      <c r="Y4" s="3166" t="s">
        <v>2652</v>
      </c>
      <c r="Z4" s="3167"/>
      <c r="AA4" s="3161" t="s">
        <v>2648</v>
      </c>
      <c r="AB4" s="3162" t="s">
        <v>2649</v>
      </c>
      <c r="AC4" s="3161" t="s">
        <v>2650</v>
      </c>
    </row>
    <row r="5" spans="1:29">
      <c r="A5" s="404"/>
      <c r="B5" s="405"/>
      <c r="C5" s="3172" t="s">
        <v>2543</v>
      </c>
      <c r="D5" s="3173"/>
      <c r="E5" s="3170" t="s">
        <v>2544</v>
      </c>
      <c r="F5" s="3171"/>
      <c r="G5" s="3172" t="s">
        <v>2545</v>
      </c>
      <c r="H5" s="3173"/>
      <c r="I5" s="3172" t="s">
        <v>2546</v>
      </c>
      <c r="J5" s="3173"/>
      <c r="K5" s="610"/>
      <c r="L5" s="1133"/>
      <c r="M5" s="1134"/>
      <c r="N5" s="1134"/>
      <c r="O5" s="1134"/>
      <c r="P5" s="3185"/>
      <c r="Q5" s="3186"/>
      <c r="R5" s="3168"/>
      <c r="S5" s="3169"/>
      <c r="T5" s="3168"/>
      <c r="U5" s="3169"/>
      <c r="V5" s="3191"/>
      <c r="W5" s="3191"/>
      <c r="X5" s="1815"/>
      <c r="Y5" s="3168"/>
      <c r="Z5" s="3169"/>
      <c r="AA5" s="3162"/>
      <c r="AB5" s="3162"/>
      <c r="AC5" s="3162"/>
    </row>
    <row r="6" spans="1:29" ht="15" thickBot="1">
      <c r="A6" s="406"/>
      <c r="B6" s="407"/>
      <c r="C6" s="3174" t="s">
        <v>2547</v>
      </c>
      <c r="D6" s="3175"/>
      <c r="E6" s="3176" t="s">
        <v>2547</v>
      </c>
      <c r="F6" s="3177"/>
      <c r="G6" s="3174" t="s">
        <v>2547</v>
      </c>
      <c r="H6" s="3175"/>
      <c r="I6" s="3174" t="s">
        <v>2547</v>
      </c>
      <c r="J6" s="3175"/>
      <c r="K6" s="610" t="s">
        <v>2548</v>
      </c>
      <c r="L6" s="1133"/>
      <c r="M6" s="1134"/>
      <c r="N6" s="1134"/>
      <c r="O6" s="1134"/>
      <c r="P6" s="3187"/>
      <c r="Q6" s="3188"/>
      <c r="R6" s="3168"/>
      <c r="S6" s="3169"/>
      <c r="T6" s="3189"/>
      <c r="U6" s="3190"/>
      <c r="V6" s="3191"/>
      <c r="W6" s="3191"/>
      <c r="X6" s="1815"/>
      <c r="Y6" s="3189"/>
      <c r="Z6" s="3190"/>
      <c r="AA6" s="3163"/>
      <c r="AB6" s="3163"/>
      <c r="AC6" s="3163"/>
    </row>
    <row r="7" spans="1:29" s="117" customFormat="1" ht="15" thickBot="1">
      <c r="A7" s="408" t="s">
        <v>2549</v>
      </c>
      <c r="B7" s="409"/>
      <c r="C7" s="410">
        <f>'数据-取费表'!B2</f>
        <v>43269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4" t="s">
        <v>2550</v>
      </c>
      <c r="Q7" s="3192"/>
      <c r="R7" s="770" t="s">
        <v>17</v>
      </c>
      <c r="S7" s="771">
        <f t="shared" ref="S7:S14" si="0">F7</f>
        <v>0</v>
      </c>
      <c r="T7" s="770" t="s">
        <v>17</v>
      </c>
      <c r="U7" s="771">
        <f t="shared" ref="U7:U14" si="1">H7</f>
        <v>0</v>
      </c>
      <c r="V7" s="770" t="s">
        <v>17</v>
      </c>
      <c r="W7" s="771">
        <f t="shared" ref="W7:W14" si="2">J7</f>
        <v>0</v>
      </c>
      <c r="X7" s="772"/>
      <c r="Y7" s="3164" t="s">
        <v>2550</v>
      </c>
      <c r="Z7" s="3165"/>
      <c r="AA7" s="773" t="e">
        <f>D7/F7</f>
        <v>#DIV/0!</v>
      </c>
      <c r="AB7" s="773" t="e">
        <f>D7/H7</f>
        <v>#DIV/0!</v>
      </c>
      <c r="AC7" s="773" t="e">
        <f>D7/J7</f>
        <v>#DIV/0!</v>
      </c>
    </row>
    <row r="8" spans="1:29" s="117" customFormat="1" ht="1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4" t="s">
        <v>2553</v>
      </c>
      <c r="Q8" s="3165"/>
      <c r="R8" s="770" t="s">
        <v>17</v>
      </c>
      <c r="S8" s="771">
        <f t="shared" si="0"/>
        <v>0</v>
      </c>
      <c r="T8" s="770" t="s">
        <v>17</v>
      </c>
      <c r="U8" s="771">
        <f t="shared" si="1"/>
        <v>0</v>
      </c>
      <c r="V8" s="770" t="s">
        <v>17</v>
      </c>
      <c r="W8" s="771">
        <f t="shared" si="2"/>
        <v>0</v>
      </c>
      <c r="X8" s="772"/>
      <c r="Y8" s="3164" t="s">
        <v>2553</v>
      </c>
      <c r="Z8" s="3165"/>
      <c r="AA8" s="773" t="e">
        <f t="shared" ref="AA8:AA36" si="3">D8/F8</f>
        <v>#DIV/0!</v>
      </c>
      <c r="AB8" s="773" t="e">
        <f t="shared" ref="AB8:AB36" si="4">D8/H8</f>
        <v>#DIV/0!</v>
      </c>
      <c r="AC8" s="773" t="e">
        <f t="shared" ref="AC8:AC36" si="5">D8/J8</f>
        <v>#DIV/0!</v>
      </c>
    </row>
    <row r="9" spans="1:29" s="117" customFormat="1" ht="14.4">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6" t="s">
        <v>2556</v>
      </c>
      <c r="Q9" s="1797" t="str">
        <f t="shared" ref="Q9:Q14" si="6">B9</f>
        <v>用途</v>
      </c>
      <c r="R9" s="770" t="s">
        <v>17</v>
      </c>
      <c r="S9" s="771">
        <f t="shared" si="0"/>
        <v>100</v>
      </c>
      <c r="T9" s="770" t="s">
        <v>17</v>
      </c>
      <c r="U9" s="771">
        <f t="shared" si="1"/>
        <v>100</v>
      </c>
      <c r="V9" s="770" t="s">
        <v>17</v>
      </c>
      <c r="W9" s="771">
        <f t="shared" si="2"/>
        <v>100</v>
      </c>
      <c r="X9" s="772"/>
      <c r="Y9" s="3011" t="s">
        <v>2557</v>
      </c>
      <c r="Z9" s="55" t="str">
        <f t="shared" ref="Z9:Z14" si="7">Q9</f>
        <v>用途</v>
      </c>
      <c r="AA9" s="773">
        <f t="shared" si="3"/>
        <v>1</v>
      </c>
      <c r="AB9" s="773">
        <f t="shared" si="4"/>
        <v>1</v>
      </c>
      <c r="AC9" s="773">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6"/>
      <c r="Q11" s="1797">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6"/>
      <c r="Q12" s="179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6"/>
      <c r="Q13" s="179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96.6">
      <c r="A14" s="401" t="s">
        <v>2560</v>
      </c>
      <c r="B14" s="629" t="s">
        <v>2710</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8" t="s">
        <v>2561</v>
      </c>
      <c r="Q14" s="1812" t="str">
        <f t="shared" si="6"/>
        <v>交通便捷度</v>
      </c>
      <c r="R14" s="774" t="s">
        <v>17</v>
      </c>
      <c r="S14" s="775">
        <f t="shared" si="0"/>
        <v>100</v>
      </c>
      <c r="T14" s="774" t="s">
        <v>17</v>
      </c>
      <c r="U14" s="775">
        <f t="shared" si="1"/>
        <v>100</v>
      </c>
      <c r="V14" s="774" t="s">
        <v>17</v>
      </c>
      <c r="W14" s="775">
        <f t="shared" si="2"/>
        <v>100</v>
      </c>
      <c r="X14" s="1815"/>
      <c r="Y14" s="3198"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9"/>
      <c r="Q15" s="1812"/>
      <c r="R15" s="774"/>
      <c r="S15" s="775"/>
      <c r="T15" s="774"/>
      <c r="U15" s="775"/>
      <c r="V15" s="774"/>
      <c r="W15" s="775"/>
      <c r="X15" s="1815"/>
      <c r="Y15" s="3199"/>
      <c r="Z15" s="1816"/>
      <c r="AA15" s="1813">
        <v>1</v>
      </c>
      <c r="AB15" s="1813">
        <v>1</v>
      </c>
      <c r="AC15" s="1813">
        <v>1</v>
      </c>
    </row>
    <row r="16" spans="1:29" ht="41.4">
      <c r="A16" s="404"/>
      <c r="B16" s="631" t="s">
        <v>2689</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9"/>
      <c r="Q16" s="1812" t="str">
        <f>B16</f>
        <v>公共配套设施</v>
      </c>
      <c r="R16" s="774" t="s">
        <v>17</v>
      </c>
      <c r="S16" s="775">
        <f>F16</f>
        <v>100</v>
      </c>
      <c r="T16" s="774" t="s">
        <v>17</v>
      </c>
      <c r="U16" s="775">
        <f>H16</f>
        <v>100</v>
      </c>
      <c r="V16" s="774" t="s">
        <v>17</v>
      </c>
      <c r="W16" s="775">
        <f>J16</f>
        <v>100</v>
      </c>
      <c r="X16" s="1815"/>
      <c r="Y16" s="3199"/>
      <c r="Z16" s="1816" t="str">
        <f>Q16</f>
        <v>公共配套设施</v>
      </c>
      <c r="AA16" s="1813">
        <f t="shared" si="3"/>
        <v>1</v>
      </c>
      <c r="AB16" s="1813">
        <f t="shared" si="4"/>
        <v>1</v>
      </c>
      <c r="AC16" s="1813">
        <f t="shared" si="5"/>
        <v>1</v>
      </c>
    </row>
    <row r="17" spans="1:29" ht="15">
      <c r="A17" s="404"/>
      <c r="B17" s="632"/>
      <c r="C17" s="2612"/>
      <c r="D17" s="448"/>
      <c r="E17" s="447"/>
      <c r="F17" s="449"/>
      <c r="G17" s="447"/>
      <c r="H17" s="448"/>
      <c r="I17" s="447"/>
      <c r="J17" s="448"/>
      <c r="K17" s="615"/>
      <c r="L17" s="1143"/>
      <c r="M17" s="1134"/>
      <c r="N17" s="1134"/>
      <c r="O17" s="1134"/>
      <c r="P17" s="3199"/>
      <c r="Q17" s="1812"/>
      <c r="R17" s="774"/>
      <c r="S17" s="775"/>
      <c r="T17" s="774"/>
      <c r="U17" s="775"/>
      <c r="V17" s="774"/>
      <c r="W17" s="775"/>
      <c r="X17" s="1815"/>
      <c r="Y17" s="3199"/>
      <c r="Z17" s="1816"/>
      <c r="AA17" s="1813">
        <v>1</v>
      </c>
      <c r="AB17" s="1813">
        <v>1</v>
      </c>
      <c r="AC17" s="1813">
        <v>1</v>
      </c>
    </row>
    <row r="18" spans="1:29" ht="41.4">
      <c r="A18" s="404"/>
      <c r="B18" s="633" t="s">
        <v>2690</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9"/>
      <c r="Q18" s="1812" t="str">
        <f>B18</f>
        <v>基础设施水平</v>
      </c>
      <c r="R18" s="774" t="s">
        <v>17</v>
      </c>
      <c r="S18" s="775">
        <f>F18</f>
        <v>100</v>
      </c>
      <c r="T18" s="774" t="s">
        <v>17</v>
      </c>
      <c r="U18" s="775">
        <f>H18</f>
        <v>100</v>
      </c>
      <c r="V18" s="774" t="s">
        <v>17</v>
      </c>
      <c r="W18" s="775">
        <f>J18</f>
        <v>100</v>
      </c>
      <c r="X18" s="1815"/>
      <c r="Y18" s="3199"/>
      <c r="Z18" s="1816" t="str">
        <f>Q18</f>
        <v>基础设施水平</v>
      </c>
      <c r="AA18" s="1813">
        <f t="shared" ref="AA18" si="8">D18/F18</f>
        <v>1</v>
      </c>
      <c r="AB18" s="1813">
        <f t="shared" ref="AB18" si="9">D18/H18</f>
        <v>1</v>
      </c>
      <c r="AC18" s="1813">
        <f t="shared" ref="AC18" si="10">D18/J18</f>
        <v>1</v>
      </c>
    </row>
    <row r="19" spans="1:29" ht="15">
      <c r="A19" s="404"/>
      <c r="B19" s="633"/>
      <c r="C19" s="2612"/>
      <c r="D19" s="450"/>
      <c r="E19" s="2612"/>
      <c r="F19" s="453"/>
      <c r="G19" s="2612"/>
      <c r="H19" s="448"/>
      <c r="I19" s="447"/>
      <c r="J19" s="448"/>
      <c r="K19" s="1386"/>
      <c r="L19" s="1143"/>
      <c r="M19" s="1134"/>
      <c r="N19" s="1134"/>
      <c r="O19" s="1134"/>
      <c r="P19" s="3199"/>
      <c r="Q19" s="1812"/>
      <c r="R19" s="774"/>
      <c r="S19" s="775"/>
      <c r="T19" s="774"/>
      <c r="U19" s="775"/>
      <c r="V19" s="774"/>
      <c r="W19" s="775"/>
      <c r="X19" s="1815"/>
      <c r="Y19" s="3199"/>
      <c r="Z19" s="1816"/>
      <c r="AA19" s="1813">
        <v>1</v>
      </c>
      <c r="AB19" s="1813">
        <v>1</v>
      </c>
      <c r="AC19" s="1813">
        <v>1</v>
      </c>
    </row>
    <row r="20" spans="1:29" ht="55.2">
      <c r="A20" s="404"/>
      <c r="B20" s="631" t="s">
        <v>2711</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9"/>
      <c r="Q20" s="1812" t="str">
        <f>B20</f>
        <v>自然及人文环境</v>
      </c>
      <c r="R20" s="774" t="s">
        <v>17</v>
      </c>
      <c r="S20" s="775">
        <f>F20</f>
        <v>100</v>
      </c>
      <c r="T20" s="774" t="s">
        <v>17</v>
      </c>
      <c r="U20" s="775">
        <f>H20</f>
        <v>100</v>
      </c>
      <c r="V20" s="774" t="s">
        <v>17</v>
      </c>
      <c r="W20" s="775">
        <f>J20</f>
        <v>100</v>
      </c>
      <c r="X20" s="1815"/>
      <c r="Y20" s="319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9"/>
      <c r="Q21" s="1812"/>
      <c r="R21" s="774"/>
      <c r="S21" s="775"/>
      <c r="T21" s="774"/>
      <c r="U21" s="775"/>
      <c r="V21" s="774"/>
      <c r="W21" s="775"/>
      <c r="X21" s="1815"/>
      <c r="Y21" s="3199"/>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9"/>
      <c r="Q22" s="1812" t="str">
        <f>B22</f>
        <v>楼层</v>
      </c>
      <c r="R22" s="774" t="s">
        <v>17</v>
      </c>
      <c r="S22" s="775">
        <f>F22</f>
        <v>100</v>
      </c>
      <c r="T22" s="774" t="s">
        <v>17</v>
      </c>
      <c r="U22" s="775">
        <f>H22</f>
        <v>100</v>
      </c>
      <c r="V22" s="774" t="s">
        <v>17</v>
      </c>
      <c r="W22" s="775">
        <f>J22</f>
        <v>100</v>
      </c>
      <c r="X22" s="1815"/>
      <c r="Y22" s="319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9"/>
      <c r="Q23" s="1812">
        <f>B23</f>
        <v>111</v>
      </c>
      <c r="R23" s="774" t="s">
        <v>17</v>
      </c>
      <c r="S23" s="775">
        <f>F23</f>
        <v>100</v>
      </c>
      <c r="T23" s="774" t="s">
        <v>17</v>
      </c>
      <c r="U23" s="775">
        <f>H23</f>
        <v>100</v>
      </c>
      <c r="V23" s="774" t="s">
        <v>17</v>
      </c>
      <c r="W23" s="775">
        <f>J23</f>
        <v>100</v>
      </c>
      <c r="X23" s="1815"/>
      <c r="Y23" s="319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9"/>
      <c r="Q24" s="1812">
        <f t="shared" ref="Q24:Q36" si="11">B24</f>
        <v>111</v>
      </c>
      <c r="R24" s="774" t="s">
        <v>17</v>
      </c>
      <c r="S24" s="775">
        <f>F24</f>
        <v>100</v>
      </c>
      <c r="T24" s="774" t="s">
        <v>17</v>
      </c>
      <c r="U24" s="775">
        <f>H24</f>
        <v>100</v>
      </c>
      <c r="V24" s="774" t="s">
        <v>17</v>
      </c>
      <c r="W24" s="775">
        <f>J24</f>
        <v>100</v>
      </c>
      <c r="X24" s="1815"/>
      <c r="Y24" s="3199"/>
      <c r="Z24" s="1816">
        <f>Q24</f>
        <v>111</v>
      </c>
      <c r="AA24" s="1813">
        <f t="shared" si="3"/>
        <v>1</v>
      </c>
      <c r="AB24" s="1813">
        <f t="shared" si="4"/>
        <v>1</v>
      </c>
      <c r="AC24" s="181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9"/>
      <c r="Q25" s="1797">
        <f t="shared" si="11"/>
        <v>111</v>
      </c>
      <c r="R25" s="770" t="s">
        <v>17</v>
      </c>
      <c r="S25" s="771">
        <f>F25</f>
        <v>100</v>
      </c>
      <c r="T25" s="770" t="s">
        <v>17</v>
      </c>
      <c r="U25" s="771">
        <f>H25</f>
        <v>100</v>
      </c>
      <c r="V25" s="770" t="s">
        <v>17</v>
      </c>
      <c r="W25" s="771">
        <f>J25</f>
        <v>100</v>
      </c>
      <c r="X25" s="772"/>
      <c r="Y25" s="3199"/>
      <c r="Z25" s="55">
        <f>Q25</f>
        <v>111</v>
      </c>
      <c r="AA25" s="1813">
        <f>D25/F25</f>
        <v>1</v>
      </c>
      <c r="AB25" s="1813">
        <f>D25/H25</f>
        <v>1</v>
      </c>
      <c r="AC25" s="1813">
        <f>D25/J25</f>
        <v>1</v>
      </c>
    </row>
    <row r="26" spans="1:29" ht="30">
      <c r="A26" s="652" t="s">
        <v>2564</v>
      </c>
      <c r="B26" s="70" t="s">
        <v>2713</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2"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3"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3"/>
      <c r="Q28" s="1812" t="str">
        <f t="shared" si="11"/>
        <v>公共部分装修</v>
      </c>
      <c r="R28" s="774" t="s">
        <v>17</v>
      </c>
      <c r="S28" s="775">
        <f t="shared" si="12"/>
        <v>100</v>
      </c>
      <c r="T28" s="774" t="s">
        <v>17</v>
      </c>
      <c r="U28" s="775">
        <f t="shared" si="13"/>
        <v>100</v>
      </c>
      <c r="V28" s="774" t="s">
        <v>17</v>
      </c>
      <c r="W28" s="775">
        <f t="shared" si="14"/>
        <v>100</v>
      </c>
      <c r="X28" s="1815"/>
      <c r="Y28" s="3203"/>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3"/>
      <c r="Q29" s="1812" t="str">
        <f t="shared" si="11"/>
        <v>成新率</v>
      </c>
      <c r="R29" s="774" t="s">
        <v>17</v>
      </c>
      <c r="S29" s="775" t="e">
        <f t="shared" si="12"/>
        <v>#N/A</v>
      </c>
      <c r="T29" s="774" t="s">
        <v>17</v>
      </c>
      <c r="U29" s="775" t="e">
        <f t="shared" si="13"/>
        <v>#N/A</v>
      </c>
      <c r="V29" s="774" t="s">
        <v>17</v>
      </c>
      <c r="W29" s="775" t="e">
        <f t="shared" si="14"/>
        <v>#N/A</v>
      </c>
      <c r="X29" s="1815"/>
      <c r="Y29" s="3203"/>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3"/>
      <c r="Q30" s="1812" t="str">
        <f t="shared" si="11"/>
        <v>物业等级</v>
      </c>
      <c r="R30" s="774" t="s">
        <v>17</v>
      </c>
      <c r="S30" s="775">
        <f t="shared" si="12"/>
        <v>100</v>
      </c>
      <c r="T30" s="774" t="s">
        <v>17</v>
      </c>
      <c r="U30" s="775">
        <f t="shared" si="13"/>
        <v>100</v>
      </c>
      <c r="V30" s="774" t="s">
        <v>17</v>
      </c>
      <c r="W30" s="775">
        <f t="shared" si="14"/>
        <v>100</v>
      </c>
      <c r="X30" s="1815"/>
      <c r="Y30" s="3203"/>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3"/>
      <c r="Q31" s="1797"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3" t="s">
        <v>2566</v>
      </c>
      <c r="Q32" s="1812" t="str">
        <f t="shared" si="11"/>
        <v>车位类型</v>
      </c>
      <c r="R32" s="774" t="s">
        <v>17</v>
      </c>
      <c r="S32" s="775">
        <f t="shared" si="12"/>
        <v>100</v>
      </c>
      <c r="T32" s="774" t="s">
        <v>17</v>
      </c>
      <c r="U32" s="775">
        <f t="shared" si="13"/>
        <v>100</v>
      </c>
      <c r="V32" s="774" t="s">
        <v>17</v>
      </c>
      <c r="W32" s="775">
        <f t="shared" si="14"/>
        <v>100</v>
      </c>
      <c r="X32" s="1815"/>
      <c r="Y32" s="3203"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3"/>
      <c r="Q33" s="1812" t="str">
        <f t="shared" si="11"/>
        <v>是否直接入户</v>
      </c>
      <c r="R33" s="774" t="s">
        <v>17</v>
      </c>
      <c r="S33" s="775">
        <f t="shared" si="12"/>
        <v>100</v>
      </c>
      <c r="T33" s="774" t="s">
        <v>17</v>
      </c>
      <c r="U33" s="775">
        <f t="shared" si="13"/>
        <v>100</v>
      </c>
      <c r="V33" s="774" t="s">
        <v>17</v>
      </c>
      <c r="W33" s="775">
        <f t="shared" si="14"/>
        <v>100</v>
      </c>
      <c r="X33" s="1815"/>
      <c r="Y33" s="320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3">
        <f t="shared" si="3"/>
        <v>1</v>
      </c>
      <c r="AB35" s="1813">
        <f t="shared" si="4"/>
        <v>1</v>
      </c>
      <c r="AC35" s="181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3"/>
      <c r="Q36" s="1812">
        <f t="shared" si="11"/>
        <v>111</v>
      </c>
      <c r="R36" s="774" t="s">
        <v>17</v>
      </c>
      <c r="S36" s="775">
        <f t="shared" si="12"/>
        <v>100</v>
      </c>
      <c r="T36" s="774" t="s">
        <v>17</v>
      </c>
      <c r="U36" s="775">
        <f t="shared" si="13"/>
        <v>100</v>
      </c>
      <c r="V36" s="774" t="s">
        <v>17</v>
      </c>
      <c r="W36" s="775">
        <f t="shared" si="14"/>
        <v>100</v>
      </c>
      <c r="X36" s="1815"/>
      <c r="Y36" s="3203"/>
      <c r="Z36" s="1816">
        <f t="shared" si="15"/>
        <v>111</v>
      </c>
      <c r="AA36" s="1813">
        <f t="shared" si="3"/>
        <v>1</v>
      </c>
      <c r="AB36" s="1813">
        <f t="shared" si="4"/>
        <v>1</v>
      </c>
      <c r="AC36" s="1813">
        <f t="shared" si="5"/>
        <v>1</v>
      </c>
    </row>
    <row r="37" spans="1:29" ht="14.4">
      <c r="A37" s="479" t="s">
        <v>2721</v>
      </c>
      <c r="B37" s="2699" t="s">
        <v>2722</v>
      </c>
      <c r="C37" s="1409" t="s">
        <v>1</v>
      </c>
      <c r="D37" s="1410"/>
      <c r="E37" s="1411"/>
      <c r="F37" s="1412"/>
      <c r="G37" s="1413"/>
      <c r="H37" s="1414"/>
      <c r="I37" s="1411"/>
      <c r="J37" s="1414"/>
      <c r="K37" s="619"/>
      <c r="L37" s="1146"/>
      <c r="M37" s="1147"/>
      <c r="N37" s="1134"/>
      <c r="O37" s="1147"/>
      <c r="P37" s="3196" t="str">
        <f>A37</f>
        <v>成交单价</v>
      </c>
      <c r="Q37" s="3196"/>
      <c r="R37" s="3197">
        <f>E37</f>
        <v>0</v>
      </c>
      <c r="S37" s="3197"/>
      <c r="T37" s="3197">
        <f>G37</f>
        <v>0</v>
      </c>
      <c r="U37" s="3197"/>
      <c r="V37" s="3197">
        <f>I37</f>
        <v>0</v>
      </c>
      <c r="W37" s="3197"/>
      <c r="X37" s="759"/>
      <c r="Y37" s="781"/>
      <c r="Z37" s="759"/>
      <c r="AA37" s="759"/>
      <c r="AB37" s="759"/>
      <c r="AC37" s="759"/>
    </row>
    <row r="38" spans="1:29" ht="15" thickBot="1">
      <c r="A38" s="486" t="s">
        <v>2723</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59"/>
      <c r="Y38" s="759"/>
      <c r="Z38" s="759"/>
      <c r="AA38" s="759"/>
      <c r="AB38" s="759"/>
      <c r="AC38" s="759"/>
    </row>
    <row r="39" spans="1:29" ht="15" thickBot="1">
      <c r="A39" s="492" t="s">
        <v>2724</v>
      </c>
      <c r="B39" s="493"/>
      <c r="C39" s="1419" t="e">
        <f>R39</f>
        <v>#DIV/0!</v>
      </c>
      <c r="D39" s="1419"/>
      <c r="E39" s="1419"/>
      <c r="F39" s="1419"/>
      <c r="G39" s="1419"/>
      <c r="H39" s="1419"/>
      <c r="I39" s="1419"/>
      <c r="J39" s="1419"/>
      <c r="K39" s="621"/>
      <c r="L39" s="1146"/>
      <c r="M39" s="1147"/>
      <c r="N39" s="1147"/>
      <c r="O39" s="1147"/>
      <c r="P39" s="3193" t="str">
        <f>A39</f>
        <v>估价对象XX用房的比较价值（楼面单价，元/平方米）</v>
      </c>
      <c r="Q39" s="3194"/>
      <c r="R39" s="3195" t="e">
        <f>IF(F1="售价",ROUND(AVERAGE(R38:V38),0),ROUND(AVERAGE(R38:V38),1))</f>
        <v>#DIV/0!</v>
      </c>
      <c r="S39" s="3195"/>
      <c r="T39" s="3195"/>
      <c r="U39" s="3195"/>
      <c r="V39" s="3195"/>
      <c r="W39" s="319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2.2"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4.4">
      <c r="A48" s="505" t="s">
        <v>2729</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ht="14.4">
      <c r="A53" s="527" t="s">
        <v>2589</v>
      </c>
      <c r="B53" s="528" t="s">
        <v>2555</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 thickTop="1">
      <c r="A67" s="534"/>
      <c r="B67" s="546" t="s">
        <v>2690</v>
      </c>
      <c r="C67" s="660" t="s">
        <v>2676</v>
      </c>
      <c r="D67" s="660" t="s">
        <v>2677</v>
      </c>
      <c r="E67" s="660" t="s">
        <v>2678</v>
      </c>
      <c r="F67" s="660" t="s">
        <v>2679</v>
      </c>
      <c r="G67" s="660" t="s">
        <v>2680</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 thickTop="1">
      <c r="A71" s="534"/>
      <c r="B71" s="538" t="s">
        <v>2730</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9.4" thickTop="1">
      <c r="A79" s="527" t="s">
        <v>2564</v>
      </c>
      <c r="B79" s="528" t="s">
        <v>2731</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2708</v>
      </c>
      <c r="B1" s="1621"/>
      <c r="C1" s="1622" t="s">
        <v>2531</v>
      </c>
      <c r="D1" s="1623"/>
      <c r="E1" s="1632"/>
      <c r="F1" s="2588"/>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90"/>
      <c r="D2" s="1127" t="e">
        <f ca="1">SUMIF(INDIRECT("'"&amp;F2&amp;"'"&amp;"!A:A"),"承租人权益价值",INDIRECT("'"&amp;F2&amp;"'"&amp;"!c:c"))</f>
        <v>#REF!</v>
      </c>
      <c r="E2" s="2591" t="s">
        <v>2329</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2646</v>
      </c>
      <c r="B4" s="402"/>
      <c r="C4" s="3179" t="s">
        <v>2647</v>
      </c>
      <c r="D4" s="3180"/>
      <c r="E4" s="3181" t="s">
        <v>2648</v>
      </c>
      <c r="F4" s="3182"/>
      <c r="G4" s="3179" t="s">
        <v>2649</v>
      </c>
      <c r="H4" s="3180"/>
      <c r="I4" s="3179" t="s">
        <v>2650</v>
      </c>
      <c r="J4" s="3180"/>
      <c r="K4" s="610" t="s">
        <v>2651</v>
      </c>
      <c r="L4" s="1133"/>
      <c r="M4" s="1134"/>
      <c r="N4" s="1134"/>
      <c r="O4" s="1134"/>
      <c r="P4" s="3183" t="s">
        <v>2652</v>
      </c>
      <c r="Q4" s="3184"/>
      <c r="R4" s="3166" t="s">
        <v>2648</v>
      </c>
      <c r="S4" s="3167"/>
      <c r="T4" s="3166" t="s">
        <v>2649</v>
      </c>
      <c r="U4" s="3167"/>
      <c r="V4" s="3191" t="s">
        <v>2650</v>
      </c>
      <c r="W4" s="3191"/>
      <c r="X4" s="1815"/>
      <c r="Y4" s="3166" t="s">
        <v>2652</v>
      </c>
      <c r="Z4" s="3167"/>
      <c r="AA4" s="3161" t="s">
        <v>2648</v>
      </c>
      <c r="AB4" s="3162" t="s">
        <v>2649</v>
      </c>
      <c r="AC4" s="3161" t="s">
        <v>2650</v>
      </c>
    </row>
    <row r="5" spans="1:29">
      <c r="A5" s="404"/>
      <c r="B5" s="405"/>
      <c r="C5" s="3172" t="s">
        <v>2543</v>
      </c>
      <c r="D5" s="3173"/>
      <c r="E5" s="3170" t="s">
        <v>2544</v>
      </c>
      <c r="F5" s="3171"/>
      <c r="G5" s="3172" t="s">
        <v>2545</v>
      </c>
      <c r="H5" s="3173"/>
      <c r="I5" s="3172" t="s">
        <v>2546</v>
      </c>
      <c r="J5" s="3173"/>
      <c r="K5" s="610"/>
      <c r="L5" s="1133"/>
      <c r="M5" s="1134"/>
      <c r="N5" s="1134"/>
      <c r="O5" s="1134"/>
      <c r="P5" s="3185"/>
      <c r="Q5" s="3186"/>
      <c r="R5" s="3168"/>
      <c r="S5" s="3169"/>
      <c r="T5" s="3168"/>
      <c r="U5" s="3169"/>
      <c r="V5" s="3191"/>
      <c r="W5" s="3191"/>
      <c r="X5" s="1815"/>
      <c r="Y5" s="3168"/>
      <c r="Z5" s="3169"/>
      <c r="AA5" s="3162"/>
      <c r="AB5" s="3162"/>
      <c r="AC5" s="3162"/>
    </row>
    <row r="6" spans="1:29" ht="15" thickBot="1">
      <c r="A6" s="406"/>
      <c r="B6" s="407"/>
      <c r="C6" s="3174" t="s">
        <v>2547</v>
      </c>
      <c r="D6" s="3175"/>
      <c r="E6" s="3176" t="s">
        <v>2547</v>
      </c>
      <c r="F6" s="3177"/>
      <c r="G6" s="3174" t="s">
        <v>2547</v>
      </c>
      <c r="H6" s="3175"/>
      <c r="I6" s="3174" t="s">
        <v>2547</v>
      </c>
      <c r="J6" s="3175"/>
      <c r="K6" s="610" t="s">
        <v>2548</v>
      </c>
      <c r="L6" s="1133"/>
      <c r="M6" s="1134"/>
      <c r="N6" s="1134"/>
      <c r="O6" s="1134"/>
      <c r="P6" s="3187"/>
      <c r="Q6" s="3188"/>
      <c r="R6" s="3168"/>
      <c r="S6" s="3169"/>
      <c r="T6" s="3189"/>
      <c r="U6" s="3190"/>
      <c r="V6" s="3191"/>
      <c r="W6" s="3191"/>
      <c r="X6" s="1815"/>
      <c r="Y6" s="3189"/>
      <c r="Z6" s="3190"/>
      <c r="AA6" s="3163"/>
      <c r="AB6" s="3163"/>
      <c r="AC6" s="3163"/>
    </row>
    <row r="7" spans="1:29" s="117" customFormat="1" ht="15" thickBot="1">
      <c r="A7" s="408" t="s">
        <v>2549</v>
      </c>
      <c r="B7" s="409"/>
      <c r="C7" s="410">
        <f>'数据-取费表'!B2</f>
        <v>43269</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64" t="s">
        <v>2550</v>
      </c>
      <c r="Q7" s="3192"/>
      <c r="R7" s="770" t="s">
        <v>17</v>
      </c>
      <c r="S7" s="771">
        <f t="shared" ref="S7:S14" si="0">F7</f>
        <v>0</v>
      </c>
      <c r="T7" s="770" t="s">
        <v>17</v>
      </c>
      <c r="U7" s="771">
        <f t="shared" ref="U7:U14" si="1">H7</f>
        <v>0</v>
      </c>
      <c r="V7" s="770" t="s">
        <v>17</v>
      </c>
      <c r="W7" s="771">
        <f t="shared" ref="W7:W14" si="2">J7</f>
        <v>0</v>
      </c>
      <c r="X7" s="772"/>
      <c r="Y7" s="3164" t="s">
        <v>2550</v>
      </c>
      <c r="Z7" s="3165"/>
      <c r="AA7" s="773" t="e">
        <f>D7/F7</f>
        <v>#DIV/0!</v>
      </c>
      <c r="AB7" s="773" t="e">
        <f>D7/H7</f>
        <v>#DIV/0!</v>
      </c>
      <c r="AC7" s="773"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4" t="s">
        <v>2553</v>
      </c>
      <c r="Q8" s="3165"/>
      <c r="R8" s="770" t="s">
        <v>17</v>
      </c>
      <c r="S8" s="771">
        <f t="shared" si="0"/>
        <v>0</v>
      </c>
      <c r="T8" s="770" t="s">
        <v>17</v>
      </c>
      <c r="U8" s="771">
        <f t="shared" si="1"/>
        <v>0</v>
      </c>
      <c r="V8" s="770" t="s">
        <v>17</v>
      </c>
      <c r="W8" s="771">
        <f t="shared" si="2"/>
        <v>0</v>
      </c>
      <c r="X8" s="772"/>
      <c r="Y8" s="3164" t="s">
        <v>2553</v>
      </c>
      <c r="Z8" s="3165"/>
      <c r="AA8" s="773" t="e">
        <f t="shared" ref="AA8:AA34" si="3">D8/F8</f>
        <v>#DIV/0!</v>
      </c>
      <c r="AB8" s="773" t="e">
        <f t="shared" ref="AB8:AB34" si="4">D8/H8</f>
        <v>#DIV/0!</v>
      </c>
      <c r="AC8" s="773"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6" t="s">
        <v>2556</v>
      </c>
      <c r="Q9" s="1797" t="str">
        <f t="shared" ref="Q9:Q14" si="6">B9</f>
        <v>用途</v>
      </c>
      <c r="R9" s="770" t="s">
        <v>17</v>
      </c>
      <c r="S9" s="771">
        <f t="shared" si="0"/>
        <v>100</v>
      </c>
      <c r="T9" s="770" t="s">
        <v>17</v>
      </c>
      <c r="U9" s="771">
        <f t="shared" si="1"/>
        <v>100</v>
      </c>
      <c r="V9" s="770" t="s">
        <v>17</v>
      </c>
      <c r="W9" s="771">
        <f t="shared" si="2"/>
        <v>100</v>
      </c>
      <c r="X9" s="772"/>
      <c r="Y9" s="3011" t="s">
        <v>2557</v>
      </c>
      <c r="Z9" s="55" t="str">
        <f t="shared" ref="Z9:Z14" si="7">Q9</f>
        <v>用途</v>
      </c>
      <c r="AA9" s="773">
        <f t="shared" si="3"/>
        <v>1</v>
      </c>
      <c r="AB9" s="773">
        <f t="shared" si="4"/>
        <v>1</v>
      </c>
      <c r="AC9" s="773">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6"/>
      <c r="Q10" s="1797"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6"/>
      <c r="Q11" s="1797">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6"/>
      <c r="Q12" s="179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6"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96"/>
      <c r="Q13" s="179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96.6">
      <c r="A14" s="440" t="s">
        <v>2560</v>
      </c>
      <c r="B14" s="69" t="s">
        <v>2710</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8" t="s">
        <v>2561</v>
      </c>
      <c r="Q14" s="1812" t="str">
        <f t="shared" si="6"/>
        <v>交通便捷度</v>
      </c>
      <c r="R14" s="774" t="s">
        <v>17</v>
      </c>
      <c r="S14" s="775">
        <f t="shared" si="0"/>
        <v>100</v>
      </c>
      <c r="T14" s="774" t="s">
        <v>17</v>
      </c>
      <c r="U14" s="775">
        <f t="shared" si="1"/>
        <v>100</v>
      </c>
      <c r="V14" s="774" t="s">
        <v>17</v>
      </c>
      <c r="W14" s="775">
        <f t="shared" si="2"/>
        <v>100</v>
      </c>
      <c r="X14" s="1815"/>
      <c r="Y14" s="3198"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9"/>
      <c r="Q15" s="1812"/>
      <c r="R15" s="774"/>
      <c r="S15" s="775"/>
      <c r="T15" s="774"/>
      <c r="U15" s="775"/>
      <c r="V15" s="774"/>
      <c r="W15" s="775"/>
      <c r="X15" s="1815"/>
      <c r="Y15" s="3199"/>
      <c r="Z15" s="1816"/>
      <c r="AA15" s="1813">
        <v>1</v>
      </c>
      <c r="AB15" s="1813">
        <v>1</v>
      </c>
      <c r="AC15" s="1813">
        <v>1</v>
      </c>
    </row>
    <row r="16" spans="1:29" ht="41.4">
      <c r="A16" s="428"/>
      <c r="B16" s="451" t="s">
        <v>2689</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9"/>
      <c r="Q16" s="1812" t="str">
        <f>B16</f>
        <v>公共配套设施</v>
      </c>
      <c r="R16" s="774" t="s">
        <v>17</v>
      </c>
      <c r="S16" s="775">
        <f>F16</f>
        <v>100</v>
      </c>
      <c r="T16" s="774" t="s">
        <v>17</v>
      </c>
      <c r="U16" s="775">
        <f>H16</f>
        <v>100</v>
      </c>
      <c r="V16" s="774" t="s">
        <v>17</v>
      </c>
      <c r="W16" s="775">
        <f>J16</f>
        <v>100</v>
      </c>
      <c r="X16" s="1815"/>
      <c r="Y16" s="3199"/>
      <c r="Z16" s="1816" t="str">
        <f>Q16</f>
        <v>公共配套设施</v>
      </c>
      <c r="AA16" s="1813">
        <f t="shared" si="3"/>
        <v>1</v>
      </c>
      <c r="AB16" s="1813">
        <f t="shared" si="4"/>
        <v>1</v>
      </c>
      <c r="AC16" s="1813">
        <f t="shared" si="5"/>
        <v>1</v>
      </c>
    </row>
    <row r="17" spans="1:29" ht="15">
      <c r="A17" s="428"/>
      <c r="B17" s="456"/>
      <c r="C17" s="2612"/>
      <c r="D17" s="448"/>
      <c r="E17" s="447"/>
      <c r="F17" s="449"/>
      <c r="G17" s="447"/>
      <c r="H17" s="448"/>
      <c r="I17" s="447"/>
      <c r="J17" s="448"/>
      <c r="K17" s="615"/>
      <c r="L17" s="1143"/>
      <c r="M17" s="1134"/>
      <c r="N17" s="1134"/>
      <c r="O17" s="1142"/>
      <c r="P17" s="3199"/>
      <c r="Q17" s="1812"/>
      <c r="R17" s="774"/>
      <c r="S17" s="775"/>
      <c r="T17" s="774"/>
      <c r="U17" s="775"/>
      <c r="V17" s="774"/>
      <c r="W17" s="775"/>
      <c r="X17" s="1815"/>
      <c r="Y17" s="3199"/>
      <c r="Z17" s="1816"/>
      <c r="AA17" s="1813">
        <v>1</v>
      </c>
      <c r="AB17" s="1813">
        <v>1</v>
      </c>
      <c r="AC17" s="1813">
        <v>1</v>
      </c>
    </row>
    <row r="18" spans="1:29" ht="41.4">
      <c r="A18" s="428"/>
      <c r="B18" s="1387" t="s">
        <v>2690</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9"/>
      <c r="Q18" s="1812" t="str">
        <f>B18</f>
        <v>基础设施水平</v>
      </c>
      <c r="R18" s="774" t="s">
        <v>17</v>
      </c>
      <c r="S18" s="775">
        <f>F18</f>
        <v>100</v>
      </c>
      <c r="T18" s="774" t="s">
        <v>17</v>
      </c>
      <c r="U18" s="775">
        <f>H18</f>
        <v>100</v>
      </c>
      <c r="V18" s="774" t="s">
        <v>17</v>
      </c>
      <c r="W18" s="775">
        <f>J18</f>
        <v>100</v>
      </c>
      <c r="X18" s="1815"/>
      <c r="Y18" s="3199"/>
      <c r="Z18" s="1816" t="str">
        <f>Q18</f>
        <v>基础设施水平</v>
      </c>
      <c r="AA18" s="1813">
        <f t="shared" ref="AA18" si="8">D18/F18</f>
        <v>1</v>
      </c>
      <c r="AB18" s="1813">
        <f t="shared" ref="AB18" si="9">D18/H18</f>
        <v>1</v>
      </c>
      <c r="AC18" s="1813">
        <f t="shared" ref="AC18" si="10">D18/J18</f>
        <v>1</v>
      </c>
    </row>
    <row r="19" spans="1:29" ht="15">
      <c r="A19" s="428"/>
      <c r="B19" s="1387"/>
      <c r="C19" s="2612"/>
      <c r="D19" s="450"/>
      <c r="E19" s="2612"/>
      <c r="F19" s="453"/>
      <c r="G19" s="2612"/>
      <c r="H19" s="448"/>
      <c r="I19" s="447"/>
      <c r="J19" s="448"/>
      <c r="K19" s="1386"/>
      <c r="L19" s="1143"/>
      <c r="M19" s="1134"/>
      <c r="N19" s="1134"/>
      <c r="O19" s="1142"/>
      <c r="P19" s="3199"/>
      <c r="Q19" s="1812"/>
      <c r="R19" s="774"/>
      <c r="S19" s="775"/>
      <c r="T19" s="774"/>
      <c r="U19" s="775"/>
      <c r="V19" s="774"/>
      <c r="W19" s="775"/>
      <c r="X19" s="1815"/>
      <c r="Y19" s="3199"/>
      <c r="Z19" s="1816"/>
      <c r="AA19" s="1813">
        <v>1</v>
      </c>
      <c r="AB19" s="1813">
        <v>1</v>
      </c>
      <c r="AC19" s="1813">
        <v>1</v>
      </c>
    </row>
    <row r="20" spans="1:29" ht="55.2">
      <c r="A20" s="428"/>
      <c r="B20" s="451" t="s">
        <v>2711</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9"/>
      <c r="Q20" s="1812" t="str">
        <f>B20</f>
        <v>自然及人文环境</v>
      </c>
      <c r="R20" s="774" t="s">
        <v>17</v>
      </c>
      <c r="S20" s="775">
        <f>F20</f>
        <v>100</v>
      </c>
      <c r="T20" s="774" t="s">
        <v>17</v>
      </c>
      <c r="U20" s="775">
        <f>H20</f>
        <v>100</v>
      </c>
      <c r="V20" s="774" t="s">
        <v>17</v>
      </c>
      <c r="W20" s="775">
        <f>J20</f>
        <v>100</v>
      </c>
      <c r="X20" s="1815"/>
      <c r="Y20" s="319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9"/>
      <c r="Q21" s="1812"/>
      <c r="R21" s="774"/>
      <c r="S21" s="775"/>
      <c r="T21" s="774"/>
      <c r="U21" s="775"/>
      <c r="V21" s="774"/>
      <c r="W21" s="775"/>
      <c r="X21" s="1815"/>
      <c r="Y21" s="3199"/>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9"/>
      <c r="Q22" s="1812" t="str">
        <f>B22</f>
        <v>楼层</v>
      </c>
      <c r="R22" s="774" t="s">
        <v>17</v>
      </c>
      <c r="S22" s="775">
        <f>F22</f>
        <v>100</v>
      </c>
      <c r="T22" s="774" t="s">
        <v>17</v>
      </c>
      <c r="U22" s="775">
        <f>H22</f>
        <v>100</v>
      </c>
      <c r="V22" s="774" t="s">
        <v>17</v>
      </c>
      <c r="W22" s="775">
        <f>J22</f>
        <v>100</v>
      </c>
      <c r="X22" s="1815"/>
      <c r="Y22" s="3199"/>
      <c r="Z22" s="1816" t="str">
        <f>Q22</f>
        <v>楼层</v>
      </c>
      <c r="AA22" s="1813">
        <f t="shared" si="3"/>
        <v>1</v>
      </c>
      <c r="AB22" s="1813">
        <f t="shared" si="4"/>
        <v>1</v>
      </c>
      <c r="AC22" s="1813">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9"/>
      <c r="Q23" s="1812">
        <f>B23</f>
        <v>111</v>
      </c>
      <c r="R23" s="774" t="s">
        <v>17</v>
      </c>
      <c r="S23" s="775">
        <f>F23</f>
        <v>100</v>
      </c>
      <c r="T23" s="774" t="s">
        <v>17</v>
      </c>
      <c r="U23" s="775">
        <f>H23</f>
        <v>100</v>
      </c>
      <c r="V23" s="774" t="s">
        <v>17</v>
      </c>
      <c r="W23" s="775">
        <f>J23</f>
        <v>100</v>
      </c>
      <c r="X23" s="1815"/>
      <c r="Y23" s="3199"/>
      <c r="Z23" s="1816">
        <f>Q23</f>
        <v>111</v>
      </c>
      <c r="AA23" s="1813">
        <f t="shared" si="3"/>
        <v>1</v>
      </c>
      <c r="AB23" s="1813">
        <f t="shared" si="4"/>
        <v>1</v>
      </c>
      <c r="AC23" s="1813">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9"/>
      <c r="Q24" s="1812">
        <f t="shared" ref="Q24:Q34" si="11">B24</f>
        <v>111</v>
      </c>
      <c r="R24" s="774" t="s">
        <v>17</v>
      </c>
      <c r="S24" s="775">
        <f>F24</f>
        <v>100</v>
      </c>
      <c r="T24" s="774" t="s">
        <v>17</v>
      </c>
      <c r="U24" s="775">
        <f>H24</f>
        <v>100</v>
      </c>
      <c r="V24" s="774" t="s">
        <v>17</v>
      </c>
      <c r="W24" s="775">
        <f>J24</f>
        <v>100</v>
      </c>
      <c r="X24" s="1815"/>
      <c r="Y24" s="3199"/>
      <c r="Z24" s="1816">
        <f>Q24</f>
        <v>111</v>
      </c>
      <c r="AA24" s="1813">
        <f t="shared" si="3"/>
        <v>1</v>
      </c>
      <c r="AB24" s="1813">
        <f t="shared" si="4"/>
        <v>1</v>
      </c>
      <c r="AC24" s="1813">
        <f t="shared" si="5"/>
        <v>1</v>
      </c>
    </row>
    <row r="25" spans="1:29" s="117" customFormat="1" ht="15.6"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99"/>
      <c r="Q25" s="1797">
        <f t="shared" si="11"/>
        <v>111</v>
      </c>
      <c r="R25" s="770" t="s">
        <v>17</v>
      </c>
      <c r="S25" s="771">
        <f>F25</f>
        <v>100</v>
      </c>
      <c r="T25" s="770" t="s">
        <v>17</v>
      </c>
      <c r="U25" s="771">
        <f>H25</f>
        <v>100</v>
      </c>
      <c r="V25" s="770" t="s">
        <v>17</v>
      </c>
      <c r="W25" s="771">
        <f>J25</f>
        <v>100</v>
      </c>
      <c r="X25" s="772"/>
      <c r="Y25" s="3199"/>
      <c r="Z25" s="55">
        <f>Q25</f>
        <v>111</v>
      </c>
      <c r="AA25" s="1813">
        <f>D25/F25</f>
        <v>1</v>
      </c>
      <c r="AB25" s="1813">
        <f>D25/H25</f>
        <v>1</v>
      </c>
      <c r="AC25" s="1813">
        <f>D25/J25</f>
        <v>1</v>
      </c>
    </row>
    <row r="26" spans="1:29" ht="30">
      <c r="A26" s="466" t="s">
        <v>2564</v>
      </c>
      <c r="B26" s="71" t="s">
        <v>2715</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22"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3"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3"/>
      <c r="Q28" s="1812" t="str">
        <f t="shared" si="11"/>
        <v>物业等级</v>
      </c>
      <c r="R28" s="774" t="s">
        <v>17</v>
      </c>
      <c r="S28" s="775">
        <f t="shared" si="12"/>
        <v>100</v>
      </c>
      <c r="T28" s="774" t="s">
        <v>17</v>
      </c>
      <c r="U28" s="775">
        <f t="shared" si="13"/>
        <v>100</v>
      </c>
      <c r="V28" s="774" t="s">
        <v>17</v>
      </c>
      <c r="W28" s="775">
        <f t="shared" si="14"/>
        <v>100</v>
      </c>
      <c r="X28" s="1815"/>
      <c r="Y28" s="3203"/>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3"/>
      <c r="Q29" s="1812" t="str">
        <f t="shared" si="11"/>
        <v>有无电梯</v>
      </c>
      <c r="R29" s="774" t="s">
        <v>17</v>
      </c>
      <c r="S29" s="775">
        <f t="shared" si="12"/>
        <v>100</v>
      </c>
      <c r="T29" s="774" t="s">
        <v>17</v>
      </c>
      <c r="U29" s="775">
        <f t="shared" si="13"/>
        <v>100</v>
      </c>
      <c r="V29" s="774" t="s">
        <v>17</v>
      </c>
      <c r="W29" s="775">
        <f t="shared" si="14"/>
        <v>100</v>
      </c>
      <c r="X29" s="1815"/>
      <c r="Y29" s="3203"/>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3"/>
      <c r="Q30" s="1812" t="str">
        <f t="shared" si="11"/>
        <v>建筑面积</v>
      </c>
      <c r="R30" s="774" t="s">
        <v>17</v>
      </c>
      <c r="S30" s="775" t="e">
        <f t="shared" si="12"/>
        <v>#N/A</v>
      </c>
      <c r="T30" s="774" t="s">
        <v>17</v>
      </c>
      <c r="U30" s="775" t="e">
        <f t="shared" si="13"/>
        <v>#N/A</v>
      </c>
      <c r="V30" s="774" t="s">
        <v>17</v>
      </c>
      <c r="W30" s="775" t="e">
        <f t="shared" si="14"/>
        <v>#N/A</v>
      </c>
      <c r="X30" s="1815"/>
      <c r="Y30" s="3203"/>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3"/>
      <c r="Q31" s="1797"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3" t="s">
        <v>2566</v>
      </c>
      <c r="Q32" s="1812">
        <f t="shared" si="11"/>
        <v>111</v>
      </c>
      <c r="R32" s="774" t="s">
        <v>17</v>
      </c>
      <c r="S32" s="775">
        <f t="shared" si="12"/>
        <v>100</v>
      </c>
      <c r="T32" s="774" t="s">
        <v>17</v>
      </c>
      <c r="U32" s="775">
        <f t="shared" si="13"/>
        <v>100</v>
      </c>
      <c r="V32" s="774" t="s">
        <v>17</v>
      </c>
      <c r="W32" s="775">
        <f t="shared" si="14"/>
        <v>100</v>
      </c>
      <c r="X32" s="1815"/>
      <c r="Y32" s="3203" t="s">
        <v>2566</v>
      </c>
      <c r="Z32" s="1816">
        <f t="shared" si="15"/>
        <v>111</v>
      </c>
      <c r="AA32" s="1813">
        <f t="shared" si="3"/>
        <v>1</v>
      </c>
      <c r="AB32" s="1813">
        <f t="shared" si="4"/>
        <v>1</v>
      </c>
      <c r="AC32" s="1813">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3"/>
      <c r="Q33" s="1812">
        <f t="shared" si="11"/>
        <v>111</v>
      </c>
      <c r="R33" s="774" t="s">
        <v>17</v>
      </c>
      <c r="S33" s="775">
        <f t="shared" si="12"/>
        <v>100</v>
      </c>
      <c r="T33" s="774" t="s">
        <v>17</v>
      </c>
      <c r="U33" s="775">
        <f t="shared" si="13"/>
        <v>100</v>
      </c>
      <c r="V33" s="774" t="s">
        <v>17</v>
      </c>
      <c r="W33" s="775">
        <f t="shared" si="14"/>
        <v>100</v>
      </c>
      <c r="X33" s="1815"/>
      <c r="Y33" s="3203"/>
      <c r="Z33" s="1816">
        <f t="shared" si="15"/>
        <v>111</v>
      </c>
      <c r="AA33" s="1813">
        <f t="shared" si="3"/>
        <v>1</v>
      </c>
      <c r="AB33" s="1813">
        <f t="shared" si="4"/>
        <v>1</v>
      </c>
      <c r="AC33" s="1813">
        <f t="shared" si="5"/>
        <v>1</v>
      </c>
    </row>
    <row r="34" spans="1:29" ht="15.6"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03"/>
      <c r="Q34" s="1812">
        <f t="shared" si="11"/>
        <v>111</v>
      </c>
      <c r="R34" s="774" t="s">
        <v>17</v>
      </c>
      <c r="S34" s="775">
        <f t="shared" si="12"/>
        <v>100</v>
      </c>
      <c r="T34" s="774" t="s">
        <v>17</v>
      </c>
      <c r="U34" s="775">
        <f t="shared" si="13"/>
        <v>100</v>
      </c>
      <c r="V34" s="774" t="s">
        <v>17</v>
      </c>
      <c r="W34" s="775">
        <f t="shared" si="14"/>
        <v>100</v>
      </c>
      <c r="X34" s="1815"/>
      <c r="Y34" s="3203"/>
      <c r="Z34" s="1816">
        <f t="shared" si="15"/>
        <v>111</v>
      </c>
      <c r="AA34" s="1813">
        <f t="shared" si="3"/>
        <v>1</v>
      </c>
      <c r="AB34" s="1813">
        <f t="shared" si="4"/>
        <v>1</v>
      </c>
      <c r="AC34" s="1813">
        <f t="shared" si="5"/>
        <v>1</v>
      </c>
    </row>
    <row r="35" spans="1:29" ht="14.4">
      <c r="A35" s="479" t="s">
        <v>2578</v>
      </c>
      <c r="B35" s="480"/>
      <c r="C35" s="1409" t="s">
        <v>1</v>
      </c>
      <c r="D35" s="1410"/>
      <c r="E35" s="1411"/>
      <c r="F35" s="1412"/>
      <c r="G35" s="1413"/>
      <c r="H35" s="1414"/>
      <c r="I35" s="1411"/>
      <c r="J35" s="1414"/>
      <c r="K35" s="783"/>
      <c r="L35" s="1146"/>
      <c r="M35" s="1147"/>
      <c r="N35" s="1134"/>
      <c r="O35" s="1147"/>
      <c r="P35" s="3196" t="str">
        <f>A35</f>
        <v>成交单价（元/平方米）</v>
      </c>
      <c r="Q35" s="3196"/>
      <c r="R35" s="3197">
        <f>E35</f>
        <v>0</v>
      </c>
      <c r="S35" s="3197"/>
      <c r="T35" s="3197">
        <f>G35</f>
        <v>0</v>
      </c>
      <c r="U35" s="3197"/>
      <c r="V35" s="3197">
        <f>I35</f>
        <v>0</v>
      </c>
      <c r="W35" s="3197"/>
      <c r="X35" s="759"/>
      <c r="Y35" s="781"/>
      <c r="Z35" s="759"/>
      <c r="AA35" s="759"/>
      <c r="AB35" s="759"/>
      <c r="AC35" s="759"/>
    </row>
    <row r="36" spans="1:29" ht="1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9"/>
      <c r="Y36" s="759"/>
      <c r="Z36" s="759"/>
      <c r="AA36" s="759"/>
      <c r="AB36" s="759"/>
      <c r="AC36" s="759"/>
    </row>
    <row r="37" spans="1:29" ht="15" thickBot="1">
      <c r="A37" s="492" t="s">
        <v>2671</v>
      </c>
      <c r="B37" s="493"/>
      <c r="C37" s="1419" t="e">
        <f>R37</f>
        <v>#DIV/0!</v>
      </c>
      <c r="D37" s="1419"/>
      <c r="E37" s="1419"/>
      <c r="F37" s="1419"/>
      <c r="G37" s="1419"/>
      <c r="H37" s="1419"/>
      <c r="I37" s="1419"/>
      <c r="J37" s="1419"/>
      <c r="K37" s="785"/>
      <c r="L37" s="1146"/>
      <c r="M37" s="1147"/>
      <c r="N37" s="1147"/>
      <c r="O37" s="1147"/>
      <c r="P37" s="3193" t="str">
        <f>A37</f>
        <v>估价对象XX用房的比较价值（楼面单价，元/平方米）</v>
      </c>
      <c r="Q37" s="3194"/>
      <c r="R37" s="3195" t="e">
        <f>IF(F1="售价",ROUND(AVERAGE(R36:V36),0),ROUND(AVERAGE(R36:V36),1))</f>
        <v>#DIV/0!</v>
      </c>
      <c r="S37" s="3195"/>
      <c r="T37" s="3195"/>
      <c r="U37" s="3195"/>
      <c r="V37" s="3195"/>
      <c r="W37" s="319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2675</v>
      </c>
      <c r="B45" s="759"/>
      <c r="C45" s="764"/>
      <c r="D45" s="764"/>
      <c r="E45" s="764"/>
      <c r="F45" s="765"/>
      <c r="G45" s="765"/>
      <c r="H45" s="764"/>
      <c r="I45" s="764"/>
      <c r="J45" s="764"/>
      <c r="K45" s="766"/>
      <c r="L45" s="767"/>
      <c r="M45" s="764"/>
      <c r="N45" s="764"/>
      <c r="O45" s="764"/>
      <c r="P45" s="503"/>
      <c r="Q45" s="504"/>
    </row>
    <row r="46" spans="1:29" s="508" customFormat="1" ht="14.4">
      <c r="A46" s="505" t="s">
        <v>2549</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c r="A47" s="509"/>
      <c r="B47" s="510"/>
      <c r="C47" s="1575">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2589</v>
      </c>
      <c r="B51" s="528" t="s">
        <v>2555</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2730</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2646</v>
      </c>
      <c r="B4" s="402"/>
      <c r="C4" s="3179" t="s">
        <v>2647</v>
      </c>
      <c r="D4" s="3180"/>
      <c r="E4" s="3181" t="s">
        <v>2648</v>
      </c>
      <c r="F4" s="3182"/>
      <c r="G4" s="3179" t="s">
        <v>2649</v>
      </c>
      <c r="H4" s="3180"/>
      <c r="I4" s="3179" t="s">
        <v>2650</v>
      </c>
      <c r="J4" s="3180"/>
      <c r="K4" s="610" t="s">
        <v>2651</v>
      </c>
      <c r="L4" s="1133"/>
      <c r="M4" s="1134"/>
      <c r="N4" s="1134"/>
      <c r="O4" s="1134"/>
      <c r="P4" s="3183" t="s">
        <v>2652</v>
      </c>
      <c r="Q4" s="3184"/>
      <c r="R4" s="3166" t="s">
        <v>2648</v>
      </c>
      <c r="S4" s="3167"/>
      <c r="T4" s="3166" t="s">
        <v>2649</v>
      </c>
      <c r="U4" s="3167"/>
      <c r="V4" s="3191" t="s">
        <v>2650</v>
      </c>
      <c r="W4" s="3191"/>
      <c r="X4" s="1815"/>
      <c r="Y4" s="3166" t="s">
        <v>2652</v>
      </c>
      <c r="Z4" s="3167"/>
      <c r="AA4" s="3161" t="s">
        <v>2648</v>
      </c>
      <c r="AB4" s="3162" t="s">
        <v>2649</v>
      </c>
      <c r="AC4" s="3161" t="s">
        <v>2650</v>
      </c>
    </row>
    <row r="5" spans="1:30">
      <c r="A5" s="404"/>
      <c r="B5" s="405"/>
      <c r="C5" s="3172" t="s">
        <v>2543</v>
      </c>
      <c r="D5" s="3173"/>
      <c r="E5" s="3170" t="s">
        <v>2544</v>
      </c>
      <c r="F5" s="3171"/>
      <c r="G5" s="3172" t="s">
        <v>2545</v>
      </c>
      <c r="H5" s="3173"/>
      <c r="I5" s="3172" t="s">
        <v>2546</v>
      </c>
      <c r="J5" s="3173"/>
      <c r="K5" s="610"/>
      <c r="L5" s="1133"/>
      <c r="M5" s="1134"/>
      <c r="N5" s="1134"/>
      <c r="O5" s="1134"/>
      <c r="P5" s="3185"/>
      <c r="Q5" s="3186"/>
      <c r="R5" s="3168"/>
      <c r="S5" s="3169"/>
      <c r="T5" s="3168"/>
      <c r="U5" s="3169"/>
      <c r="V5" s="3191"/>
      <c r="W5" s="3191"/>
      <c r="X5" s="1815"/>
      <c r="Y5" s="3168"/>
      <c r="Z5" s="3169"/>
      <c r="AA5" s="3162"/>
      <c r="AB5" s="3162"/>
      <c r="AC5" s="3162"/>
    </row>
    <row r="6" spans="1:30" ht="15" thickBot="1">
      <c r="A6" s="406"/>
      <c r="B6" s="407"/>
      <c r="C6" s="3174" t="s">
        <v>2547</v>
      </c>
      <c r="D6" s="3175"/>
      <c r="E6" s="3176" t="s">
        <v>2547</v>
      </c>
      <c r="F6" s="3177"/>
      <c r="G6" s="3174" t="s">
        <v>2547</v>
      </c>
      <c r="H6" s="3175"/>
      <c r="I6" s="3174" t="s">
        <v>2547</v>
      </c>
      <c r="J6" s="3175"/>
      <c r="K6" s="610" t="s">
        <v>2548</v>
      </c>
      <c r="L6" s="1133"/>
      <c r="M6" s="1134"/>
      <c r="N6" s="1134"/>
      <c r="O6" s="1134"/>
      <c r="P6" s="3187"/>
      <c r="Q6" s="3188"/>
      <c r="R6" s="3168"/>
      <c r="S6" s="3169"/>
      <c r="T6" s="3189"/>
      <c r="U6" s="3190"/>
      <c r="V6" s="3191"/>
      <c r="W6" s="3191"/>
      <c r="X6" s="1815"/>
      <c r="Y6" s="3189"/>
      <c r="Z6" s="3190"/>
      <c r="AA6" s="3163"/>
      <c r="AB6" s="3163"/>
      <c r="AC6" s="3163"/>
    </row>
    <row r="7" spans="1:30" s="117" customFormat="1" ht="15" thickBot="1">
      <c r="A7" s="408" t="s">
        <v>2549</v>
      </c>
      <c r="B7" s="409"/>
      <c r="C7" s="410">
        <f>'数据-取费表'!B2</f>
        <v>43269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64" t="s">
        <v>2550</v>
      </c>
      <c r="Q7" s="3192"/>
      <c r="R7" s="770" t="s">
        <v>17</v>
      </c>
      <c r="S7" s="771">
        <f t="shared" ref="S7:S15" si="0">F7</f>
        <v>0</v>
      </c>
      <c r="T7" s="770" t="s">
        <v>17</v>
      </c>
      <c r="U7" s="771">
        <f t="shared" ref="U7:U15" si="1">H7</f>
        <v>0</v>
      </c>
      <c r="V7" s="770" t="s">
        <v>17</v>
      </c>
      <c r="W7" s="771">
        <f t="shared" ref="W7:W15" si="2">J7</f>
        <v>0</v>
      </c>
      <c r="X7" s="772"/>
      <c r="Y7" s="3164" t="s">
        <v>2550</v>
      </c>
      <c r="Z7" s="3165"/>
      <c r="AA7" s="773" t="e">
        <f>D7/F7</f>
        <v>#DIV/0!</v>
      </c>
      <c r="AB7" s="773" t="e">
        <f>D7/H7</f>
        <v>#DIV/0!</v>
      </c>
      <c r="AC7" s="773" t="e">
        <f>D7/J7</f>
        <v>#DIV/0!</v>
      </c>
    </row>
    <row r="8" spans="1:30" s="117" customFormat="1" ht="1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4" t="s">
        <v>2553</v>
      </c>
      <c r="Q8" s="3165"/>
      <c r="R8" s="770" t="s">
        <v>17</v>
      </c>
      <c r="S8" s="771">
        <f t="shared" si="0"/>
        <v>0</v>
      </c>
      <c r="T8" s="770" t="s">
        <v>17</v>
      </c>
      <c r="U8" s="771">
        <f t="shared" si="1"/>
        <v>0</v>
      </c>
      <c r="V8" s="770" t="s">
        <v>17</v>
      </c>
      <c r="W8" s="771">
        <f t="shared" si="2"/>
        <v>0</v>
      </c>
      <c r="X8" s="772"/>
      <c r="Y8" s="3164" t="s">
        <v>2553</v>
      </c>
      <c r="Z8" s="3165"/>
      <c r="AA8" s="773" t="e">
        <f t="shared" ref="AA8:AA45" si="3">D8/F8</f>
        <v>#DIV/0!</v>
      </c>
      <c r="AB8" s="773" t="e">
        <f t="shared" ref="AB8:AB45" si="4">D8/H8</f>
        <v>#DIV/0!</v>
      </c>
      <c r="AC8" s="773" t="e">
        <f t="shared" ref="AC8:AC45" si="5">D8/J8</f>
        <v>#DIV/0!</v>
      </c>
    </row>
    <row r="9" spans="1:30" s="117" customFormat="1" ht="14.4">
      <c r="A9" s="415" t="s">
        <v>2554</v>
      </c>
      <c r="B9" s="71" t="s">
        <v>2555</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96" t="s">
        <v>2556</v>
      </c>
      <c r="Q9" s="1797" t="str">
        <f t="shared" ref="Q9:Q15" si="6">B9</f>
        <v>用途</v>
      </c>
      <c r="R9" s="770" t="s">
        <v>17</v>
      </c>
      <c r="S9" s="771">
        <f t="shared" si="0"/>
        <v>100</v>
      </c>
      <c r="T9" s="770" t="s">
        <v>17</v>
      </c>
      <c r="U9" s="771">
        <f t="shared" si="1"/>
        <v>100</v>
      </c>
      <c r="V9" s="770" t="s">
        <v>17</v>
      </c>
      <c r="W9" s="771">
        <f t="shared" si="2"/>
        <v>100</v>
      </c>
      <c r="X9" s="772"/>
      <c r="Y9" s="3011" t="s">
        <v>2557</v>
      </c>
      <c r="Z9" s="55" t="str">
        <f t="shared" ref="Z9:Z15" si="7">Q9</f>
        <v>用途</v>
      </c>
      <c r="AA9" s="773">
        <f t="shared" si="3"/>
        <v>1</v>
      </c>
      <c r="AB9" s="773">
        <f t="shared" si="4"/>
        <v>1</v>
      </c>
      <c r="AC9" s="773">
        <f t="shared" si="5"/>
        <v>1</v>
      </c>
    </row>
    <row r="10" spans="1:30" s="427" customFormat="1" ht="28.8">
      <c r="A10" s="421"/>
      <c r="B10" s="422" t="s">
        <v>2558</v>
      </c>
      <c r="C10" s="432"/>
      <c r="D10" s="136">
        <v>100</v>
      </c>
      <c r="E10" s="465"/>
      <c r="F10" s="136">
        <f>ROUND(100/'数据-取费表'!G16,0)</f>
        <v>126</v>
      </c>
      <c r="G10" s="463"/>
      <c r="H10" s="136">
        <f>ROUND(100/'数据-取费表'!G16,0)</f>
        <v>126</v>
      </c>
      <c r="I10" s="463"/>
      <c r="J10" s="136">
        <f>ROUND(100/'数据-取费表'!G16,0)</f>
        <v>126</v>
      </c>
      <c r="K10" s="672"/>
      <c r="L10" s="1138"/>
      <c r="M10" s="1139"/>
      <c r="N10" s="1139"/>
      <c r="O10" s="1140"/>
      <c r="P10" s="3196"/>
      <c r="Q10" s="1797" t="str">
        <f t="shared" si="6"/>
        <v>土地使用年限（年）</v>
      </c>
      <c r="R10" s="770" t="s">
        <v>17</v>
      </c>
      <c r="S10" s="771">
        <f t="shared" si="0"/>
        <v>126</v>
      </c>
      <c r="T10" s="770" t="s">
        <v>17</v>
      </c>
      <c r="U10" s="771">
        <f t="shared" si="1"/>
        <v>126</v>
      </c>
      <c r="V10" s="770" t="s">
        <v>17</v>
      </c>
      <c r="W10" s="771">
        <f t="shared" si="2"/>
        <v>126</v>
      </c>
      <c r="X10" s="772"/>
      <c r="Y10" s="3011"/>
      <c r="Z10" s="55" t="str">
        <f t="shared" si="7"/>
        <v>土地使用年限（年）</v>
      </c>
      <c r="AA10" s="773">
        <f t="shared" si="3"/>
        <v>0.79365079365079361</v>
      </c>
      <c r="AB10" s="773">
        <f t="shared" si="4"/>
        <v>0.79365079365079361</v>
      </c>
      <c r="AC10" s="773">
        <f t="shared" si="5"/>
        <v>0.79365079365079361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6"/>
      <c r="Q11" s="1797"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30" s="117" customFormat="1" ht="15">
      <c r="A12" s="431"/>
      <c r="B12" s="2604"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6"/>
      <c r="Q12" s="1797" t="str">
        <f t="shared" si="6"/>
        <v>配建</v>
      </c>
      <c r="R12" s="770" t="s">
        <v>17</v>
      </c>
      <c r="S12" s="771">
        <f t="shared" si="0"/>
        <v>100</v>
      </c>
      <c r="T12" s="770" t="s">
        <v>17</v>
      </c>
      <c r="U12" s="771">
        <f t="shared" si="1"/>
        <v>100</v>
      </c>
      <c r="V12" s="770" t="s">
        <v>17</v>
      </c>
      <c r="W12" s="771">
        <f t="shared" si="2"/>
        <v>100</v>
      </c>
      <c r="X12" s="772"/>
      <c r="Y12" s="3011"/>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6"/>
      <c r="Q13" s="1797">
        <f t="shared" si="6"/>
        <v>111</v>
      </c>
      <c r="R13" s="770" t="s">
        <v>17</v>
      </c>
      <c r="S13" s="771">
        <f t="shared" si="0"/>
        <v>100</v>
      </c>
      <c r="T13" s="770" t="s">
        <v>17</v>
      </c>
      <c r="U13" s="771">
        <f t="shared" si="1"/>
        <v>100</v>
      </c>
      <c r="V13" s="770" t="s">
        <v>17</v>
      </c>
      <c r="W13" s="771">
        <f t="shared" si="2"/>
        <v>100</v>
      </c>
      <c r="X13" s="772"/>
      <c r="Y13" s="3011"/>
      <c r="Z13" s="55">
        <f t="shared" si="7"/>
        <v>111</v>
      </c>
      <c r="AA13" s="773">
        <f>D13/F13</f>
        <v>1</v>
      </c>
      <c r="AB13" s="773">
        <f>D13/H13</f>
        <v>1</v>
      </c>
      <c r="AC13" s="773">
        <f>D13/J13</f>
        <v>1</v>
      </c>
    </row>
    <row r="14" spans="1:30" ht="15.6"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6"/>
      <c r="Q14" s="1797">
        <f t="shared" si="6"/>
        <v>111</v>
      </c>
      <c r="R14" s="770" t="s">
        <v>17</v>
      </c>
      <c r="S14" s="771">
        <f t="shared" si="0"/>
        <v>100</v>
      </c>
      <c r="T14" s="770" t="s">
        <v>17</v>
      </c>
      <c r="U14" s="771">
        <f t="shared" si="1"/>
        <v>100</v>
      </c>
      <c r="V14" s="770" t="s">
        <v>17</v>
      </c>
      <c r="W14" s="771">
        <f t="shared" si="2"/>
        <v>100</v>
      </c>
      <c r="X14" s="772"/>
      <c r="Y14" s="3011"/>
      <c r="Z14" s="55">
        <f t="shared" si="7"/>
        <v>111</v>
      </c>
      <c r="AA14" s="773">
        <f>D14/F14</f>
        <v>1</v>
      </c>
      <c r="AB14" s="773">
        <f>D14/H14</f>
        <v>1</v>
      </c>
      <c r="AC14" s="773">
        <f>D14/J14</f>
        <v>1</v>
      </c>
    </row>
    <row r="15" spans="1:30" ht="96.6">
      <c r="A15" s="440" t="s">
        <v>2560</v>
      </c>
      <c r="B15" s="69" t="s">
        <v>2087</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8" t="s">
        <v>2561</v>
      </c>
      <c r="Q15" s="1812" t="str">
        <f t="shared" si="6"/>
        <v>居住社区成熟度</v>
      </c>
      <c r="R15" s="774" t="s">
        <v>17</v>
      </c>
      <c r="S15" s="775">
        <f t="shared" si="0"/>
        <v>100</v>
      </c>
      <c r="T15" s="774" t="s">
        <v>17</v>
      </c>
      <c r="U15" s="775">
        <f t="shared" si="1"/>
        <v>100</v>
      </c>
      <c r="V15" s="774" t="s">
        <v>17</v>
      </c>
      <c r="W15" s="775">
        <f t="shared" si="2"/>
        <v>100</v>
      </c>
      <c r="X15" s="1815"/>
      <c r="Y15" s="3198" t="s">
        <v>2561</v>
      </c>
      <c r="Z15" s="1816" t="str">
        <f t="shared" si="7"/>
        <v>居住社区成熟度</v>
      </c>
      <c r="AA15" s="1813">
        <f t="shared" si="3"/>
        <v>1</v>
      </c>
      <c r="AB15" s="1813">
        <f t="shared" si="4"/>
        <v>1</v>
      </c>
      <c r="AC15" s="1813">
        <f t="shared" si="5"/>
        <v>1</v>
      </c>
    </row>
    <row r="16" spans="1:30" ht="15">
      <c r="A16" s="428"/>
      <c r="B16" s="446"/>
      <c r="C16" s="447"/>
      <c r="D16" s="448"/>
      <c r="E16" s="2609"/>
      <c r="F16" s="448"/>
      <c r="G16" s="2609"/>
      <c r="H16" s="450"/>
      <c r="I16" s="2608"/>
      <c r="J16" s="448"/>
      <c r="K16" s="672"/>
      <c r="L16" s="1143"/>
      <c r="M16" s="1134"/>
      <c r="N16" s="1134"/>
      <c r="O16" s="1142"/>
      <c r="P16" s="3199"/>
      <c r="Q16" s="1812"/>
      <c r="R16" s="774"/>
      <c r="S16" s="775"/>
      <c r="T16" s="774"/>
      <c r="U16" s="775"/>
      <c r="V16" s="774"/>
      <c r="W16" s="775"/>
      <c r="X16" s="1815"/>
      <c r="Y16" s="3199"/>
      <c r="Z16" s="1816"/>
      <c r="AA16" s="1813">
        <v>1</v>
      </c>
      <c r="AB16" s="1813">
        <v>1</v>
      </c>
      <c r="AC16" s="1813">
        <v>1</v>
      </c>
    </row>
    <row r="17" spans="1:29" ht="82.8">
      <c r="A17" s="428"/>
      <c r="B17" s="451" t="s">
        <v>2654</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9"/>
      <c r="Q17" s="1812" t="str">
        <f>B17</f>
        <v>商业繁华度</v>
      </c>
      <c r="R17" s="774" t="s">
        <v>17</v>
      </c>
      <c r="S17" s="775">
        <f>F17</f>
        <v>100</v>
      </c>
      <c r="T17" s="774" t="s">
        <v>17</v>
      </c>
      <c r="U17" s="775">
        <f>H17</f>
        <v>100</v>
      </c>
      <c r="V17" s="774" t="s">
        <v>17</v>
      </c>
      <c r="W17" s="775">
        <f>J17</f>
        <v>100</v>
      </c>
      <c r="X17" s="1815"/>
      <c r="Y17" s="3199"/>
      <c r="Z17" s="1816" t="str">
        <f>Q17</f>
        <v>商业繁华度</v>
      </c>
      <c r="AA17" s="1813">
        <f t="shared" si="3"/>
        <v>1</v>
      </c>
      <c r="AB17" s="1813">
        <f t="shared" si="4"/>
        <v>1</v>
      </c>
      <c r="AC17" s="1813">
        <f t="shared" si="5"/>
        <v>1</v>
      </c>
    </row>
    <row r="18" spans="1:29" ht="15">
      <c r="A18" s="428"/>
      <c r="B18" s="456"/>
      <c r="C18" s="2612"/>
      <c r="D18" s="450"/>
      <c r="E18" s="2614"/>
      <c r="F18" s="450"/>
      <c r="G18" s="2614"/>
      <c r="H18" s="448"/>
      <c r="I18" s="2613"/>
      <c r="J18" s="448"/>
      <c r="K18" s="672"/>
      <c r="L18" s="1143"/>
      <c r="M18" s="1134"/>
      <c r="N18" s="1134"/>
      <c r="O18" s="1142"/>
      <c r="P18" s="3199"/>
      <c r="Q18" s="1812"/>
      <c r="R18" s="774"/>
      <c r="S18" s="775"/>
      <c r="T18" s="774"/>
      <c r="U18" s="775"/>
      <c r="V18" s="774"/>
      <c r="W18" s="775"/>
      <c r="X18" s="1815"/>
      <c r="Y18" s="3199"/>
      <c r="Z18" s="1816"/>
      <c r="AA18" s="1813">
        <v>1</v>
      </c>
      <c r="AB18" s="1813">
        <v>1</v>
      </c>
      <c r="AC18" s="1813">
        <v>1</v>
      </c>
    </row>
    <row r="19" spans="1:29" ht="82.8">
      <c r="A19" s="428"/>
      <c r="B19" s="451" t="s">
        <v>2688</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9"/>
      <c r="Q19" s="1812" t="str">
        <f>B19</f>
        <v>办公集聚程度</v>
      </c>
      <c r="R19" s="774" t="s">
        <v>17</v>
      </c>
      <c r="S19" s="775">
        <f>F19</f>
        <v>100</v>
      </c>
      <c r="T19" s="774" t="s">
        <v>17</v>
      </c>
      <c r="U19" s="775">
        <f>H19</f>
        <v>100</v>
      </c>
      <c r="V19" s="774" t="s">
        <v>17</v>
      </c>
      <c r="W19" s="775">
        <f>J19</f>
        <v>100</v>
      </c>
      <c r="X19" s="1815"/>
      <c r="Y19" s="3199"/>
      <c r="Z19" s="1816" t="str">
        <f>Q19</f>
        <v>办公集聚程度</v>
      </c>
      <c r="AA19" s="1813">
        <f t="shared" si="3"/>
        <v>1</v>
      </c>
      <c r="AB19" s="1813">
        <f t="shared" si="4"/>
        <v>1</v>
      </c>
      <c r="AC19" s="1813">
        <f t="shared" si="5"/>
        <v>1</v>
      </c>
    </row>
    <row r="20" spans="1:29" ht="15">
      <c r="A20" s="428"/>
      <c r="B20" s="456"/>
      <c r="C20" s="447"/>
      <c r="D20" s="448"/>
      <c r="E20" s="2609"/>
      <c r="F20" s="448"/>
      <c r="G20" s="2609"/>
      <c r="H20" s="448"/>
      <c r="I20" s="2608"/>
      <c r="J20" s="448"/>
      <c r="K20" s="672"/>
      <c r="L20" s="1143"/>
      <c r="M20" s="1134"/>
      <c r="N20" s="1134"/>
      <c r="O20" s="1142"/>
      <c r="P20" s="3199"/>
      <c r="Q20" s="1812"/>
      <c r="R20" s="774"/>
      <c r="S20" s="775"/>
      <c r="T20" s="774"/>
      <c r="U20" s="775"/>
      <c r="V20" s="774"/>
      <c r="W20" s="775"/>
      <c r="X20" s="1815"/>
      <c r="Y20" s="3199"/>
      <c r="Z20" s="1816"/>
      <c r="AA20" s="1813">
        <v>1</v>
      </c>
      <c r="AB20" s="1813">
        <v>1</v>
      </c>
      <c r="AC20" s="1813">
        <v>1</v>
      </c>
    </row>
    <row r="21" spans="1:29" ht="96.6">
      <c r="A21" s="428"/>
      <c r="B21" s="451" t="s">
        <v>2710</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9"/>
      <c r="Q21" s="1812" t="str">
        <f>B21</f>
        <v>交通便捷度</v>
      </c>
      <c r="R21" s="774" t="s">
        <v>17</v>
      </c>
      <c r="S21" s="775">
        <f>F21</f>
        <v>100</v>
      </c>
      <c r="T21" s="774" t="s">
        <v>17</v>
      </c>
      <c r="U21" s="775">
        <f>H21</f>
        <v>100</v>
      </c>
      <c r="V21" s="774" t="s">
        <v>17</v>
      </c>
      <c r="W21" s="775">
        <f>J21</f>
        <v>100</v>
      </c>
      <c r="X21" s="1815"/>
      <c r="Y21" s="3199"/>
      <c r="Z21" s="1816" t="str">
        <f>Q21</f>
        <v>交通便捷度</v>
      </c>
      <c r="AA21" s="1813">
        <f t="shared" si="3"/>
        <v>1</v>
      </c>
      <c r="AB21" s="1813">
        <f t="shared" si="4"/>
        <v>1</v>
      </c>
      <c r="AC21" s="1813">
        <f t="shared" si="5"/>
        <v>1</v>
      </c>
    </row>
    <row r="22" spans="1:29" ht="15">
      <c r="A22" s="428"/>
      <c r="B22" s="1387"/>
      <c r="C22" s="447"/>
      <c r="D22" s="450"/>
      <c r="E22" s="2609"/>
      <c r="F22" s="448"/>
      <c r="G22" s="2609"/>
      <c r="H22" s="448"/>
      <c r="I22" s="2608"/>
      <c r="J22" s="448"/>
      <c r="K22" s="672"/>
      <c r="L22" s="1143"/>
      <c r="M22" s="1134"/>
      <c r="N22" s="1134"/>
      <c r="O22" s="1142"/>
      <c r="P22" s="3199"/>
      <c r="Q22" s="1812"/>
      <c r="R22" s="774"/>
      <c r="S22" s="775"/>
      <c r="T22" s="774"/>
      <c r="U22" s="775"/>
      <c r="V22" s="774"/>
      <c r="W22" s="775"/>
      <c r="X22" s="1815"/>
      <c r="Y22" s="3199"/>
      <c r="Z22" s="1816"/>
      <c r="AA22" s="1813">
        <v>1</v>
      </c>
      <c r="AB22" s="1813">
        <v>1</v>
      </c>
      <c r="AC22" s="1813">
        <v>1</v>
      </c>
    </row>
    <row r="23" spans="1:29" ht="28.8">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9"/>
      <c r="Q23" s="1812" t="str">
        <f t="shared" ref="Q23:Q37" si="8">B23</f>
        <v>区域土地利用方向</v>
      </c>
      <c r="R23" s="774" t="s">
        <v>17</v>
      </c>
      <c r="S23" s="775">
        <f>F23</f>
        <v>100</v>
      </c>
      <c r="T23" s="774" t="s">
        <v>17</v>
      </c>
      <c r="U23" s="775">
        <f>H23</f>
        <v>100</v>
      </c>
      <c r="V23" s="774" t="s">
        <v>17</v>
      </c>
      <c r="W23" s="775">
        <f>J23</f>
        <v>100</v>
      </c>
      <c r="X23" s="1815"/>
      <c r="Y23" s="3199"/>
      <c r="Z23" s="1816" t="str">
        <f>Q23</f>
        <v>区域土地利用方向</v>
      </c>
      <c r="AA23" s="1813">
        <f t="shared" si="3"/>
        <v>1</v>
      </c>
      <c r="AB23" s="1813">
        <f t="shared" si="4"/>
        <v>1</v>
      </c>
      <c r="AC23" s="1813">
        <f t="shared" si="5"/>
        <v>1</v>
      </c>
    </row>
    <row r="24" spans="1:29" ht="15">
      <c r="A24" s="404"/>
      <c r="B24" s="456"/>
      <c r="C24" s="616"/>
      <c r="D24" s="448"/>
      <c r="E24" s="2609"/>
      <c r="F24" s="448"/>
      <c r="G24" s="2608"/>
      <c r="H24" s="448"/>
      <c r="I24" s="2608"/>
      <c r="J24" s="448"/>
      <c r="K24" s="812"/>
      <c r="L24" s="1143"/>
      <c r="M24" s="1134"/>
      <c r="N24" s="1134"/>
      <c r="O24" s="1142"/>
      <c r="P24" s="3199"/>
      <c r="Q24" s="1812"/>
      <c r="R24" s="774"/>
      <c r="S24" s="775"/>
      <c r="T24" s="774"/>
      <c r="U24" s="775"/>
      <c r="V24" s="774"/>
      <c r="W24" s="775"/>
      <c r="X24" s="1815"/>
      <c r="Y24" s="3199"/>
      <c r="Z24" s="1816"/>
      <c r="AA24" s="1813"/>
      <c r="AB24" s="1813"/>
      <c r="AC24" s="1813"/>
    </row>
    <row r="25" spans="1:29" ht="55.2">
      <c r="A25" s="404"/>
      <c r="B25" s="1387" t="s">
        <v>2750</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9"/>
      <c r="Q25" s="1812" t="str">
        <f t="shared" si="8"/>
        <v>自然及人文环境状况</v>
      </c>
      <c r="R25" s="774" t="s">
        <v>17</v>
      </c>
      <c r="S25" s="775">
        <f>F25</f>
        <v>100</v>
      </c>
      <c r="T25" s="774" t="s">
        <v>17</v>
      </c>
      <c r="U25" s="775">
        <f>H25</f>
        <v>100</v>
      </c>
      <c r="V25" s="774" t="s">
        <v>17</v>
      </c>
      <c r="W25" s="775">
        <f>J25</f>
        <v>100</v>
      </c>
      <c r="X25" s="1815"/>
      <c r="Y25" s="3199"/>
      <c r="Z25" s="1816" t="str">
        <f>Q25</f>
        <v>自然及人文环境状况</v>
      </c>
      <c r="AA25" s="1813">
        <f t="shared" si="3"/>
        <v>1</v>
      </c>
      <c r="AB25" s="1813">
        <f t="shared" si="4"/>
        <v>1</v>
      </c>
      <c r="AC25" s="1813">
        <f t="shared" si="5"/>
        <v>1</v>
      </c>
    </row>
    <row r="26" spans="1:29" ht="15">
      <c r="A26" s="404"/>
      <c r="B26" s="456"/>
      <c r="C26" s="447"/>
      <c r="D26" s="448"/>
      <c r="E26" s="2615"/>
      <c r="F26" s="448"/>
      <c r="G26" s="2615"/>
      <c r="H26" s="448"/>
      <c r="I26" s="447"/>
      <c r="J26" s="448"/>
      <c r="K26" s="672"/>
      <c r="L26" s="1143"/>
      <c r="M26" s="1134"/>
      <c r="N26" s="1134"/>
      <c r="O26" s="1142"/>
      <c r="P26" s="3199"/>
      <c r="Q26" s="1812"/>
      <c r="R26" s="774"/>
      <c r="S26" s="775"/>
      <c r="T26" s="774"/>
      <c r="U26" s="775"/>
      <c r="V26" s="774"/>
      <c r="W26" s="775"/>
      <c r="X26" s="1815"/>
      <c r="Y26" s="3199"/>
      <c r="Z26" s="1816"/>
      <c r="AA26" s="1813">
        <v>1</v>
      </c>
      <c r="AB26" s="1813">
        <v>1</v>
      </c>
      <c r="AC26" s="1813">
        <v>1</v>
      </c>
    </row>
    <row r="27" spans="1:29" s="117" customFormat="1" ht="41.4">
      <c r="A27" s="649"/>
      <c r="B27" s="1387" t="s">
        <v>2655</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9"/>
      <c r="Q27" s="1797" t="str">
        <f t="shared" si="8"/>
        <v>公共配套设施</v>
      </c>
      <c r="R27" s="770" t="s">
        <v>17</v>
      </c>
      <c r="S27" s="771">
        <f>F27</f>
        <v>100</v>
      </c>
      <c r="T27" s="770" t="s">
        <v>17</v>
      </c>
      <c r="U27" s="771">
        <f>H27</f>
        <v>100</v>
      </c>
      <c r="V27" s="770" t="s">
        <v>17</v>
      </c>
      <c r="W27" s="771">
        <f>J27</f>
        <v>100</v>
      </c>
      <c r="X27" s="772"/>
      <c r="Y27" s="3199"/>
      <c r="Z27" s="55" t="str">
        <f>Q27</f>
        <v>公共配套设施</v>
      </c>
      <c r="AA27" s="1813">
        <f>D27/F27</f>
        <v>1</v>
      </c>
      <c r="AB27" s="1813">
        <f>D27/H27</f>
        <v>1</v>
      </c>
      <c r="AC27" s="1813">
        <f>D27/J27</f>
        <v>1</v>
      </c>
    </row>
    <row r="28" spans="1:29" s="117" customFormat="1" ht="15">
      <c r="A28" s="649"/>
      <c r="B28" s="456"/>
      <c r="C28" s="2704"/>
      <c r="D28" s="448"/>
      <c r="E28" s="2615"/>
      <c r="F28" s="448"/>
      <c r="G28" s="2615"/>
      <c r="H28" s="448"/>
      <c r="I28" s="447"/>
      <c r="J28" s="448"/>
      <c r="K28" s="672"/>
      <c r="L28" s="1135"/>
      <c r="M28" s="1136"/>
      <c r="N28" s="1136"/>
      <c r="O28" s="1137"/>
      <c r="P28" s="3199"/>
      <c r="Q28" s="1797"/>
      <c r="R28" s="770"/>
      <c r="S28" s="771"/>
      <c r="T28" s="770"/>
      <c r="U28" s="771"/>
      <c r="V28" s="770"/>
      <c r="W28" s="771"/>
      <c r="X28" s="772"/>
      <c r="Y28" s="3199"/>
      <c r="Z28" s="55"/>
      <c r="AA28" s="1813">
        <v>1</v>
      </c>
      <c r="AB28" s="1813">
        <v>1</v>
      </c>
      <c r="AC28" s="1813">
        <v>1</v>
      </c>
    </row>
    <row r="29" spans="1:29" s="117" customFormat="1" ht="41.4">
      <c r="A29" s="649"/>
      <c r="B29" s="1387" t="s">
        <v>2656</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9"/>
      <c r="Q29" s="1797" t="str">
        <f t="shared" ref="Q29" si="9">B29</f>
        <v>基础设施水平</v>
      </c>
      <c r="R29" s="770" t="s">
        <v>17</v>
      </c>
      <c r="S29" s="771">
        <f>F29</f>
        <v>100</v>
      </c>
      <c r="T29" s="770" t="s">
        <v>17</v>
      </c>
      <c r="U29" s="771">
        <f>H29</f>
        <v>100</v>
      </c>
      <c r="V29" s="770" t="s">
        <v>17</v>
      </c>
      <c r="W29" s="771">
        <f>J29</f>
        <v>100</v>
      </c>
      <c r="X29" s="772"/>
      <c r="Y29" s="3199"/>
      <c r="Z29" s="55" t="str">
        <f>Q29</f>
        <v>基础设施水平</v>
      </c>
      <c r="AA29" s="1813">
        <f>D29/F29</f>
        <v>1</v>
      </c>
      <c r="AB29" s="1813">
        <f>D29/H29</f>
        <v>1</v>
      </c>
      <c r="AC29" s="1813">
        <f>D29/J29</f>
        <v>1</v>
      </c>
    </row>
    <row r="30" spans="1:29" s="117" customFormat="1" ht="15">
      <c r="A30" s="649"/>
      <c r="B30" s="456"/>
      <c r="C30" s="2704"/>
      <c r="D30" s="448"/>
      <c r="E30" s="2705"/>
      <c r="F30" s="448"/>
      <c r="G30" s="2705"/>
      <c r="H30" s="448"/>
      <c r="I30" s="2705"/>
      <c r="J30" s="448"/>
      <c r="K30" s="672"/>
      <c r="L30" s="1135"/>
      <c r="M30" s="1136"/>
      <c r="N30" s="1136"/>
      <c r="O30" s="1137"/>
      <c r="P30" s="3199"/>
      <c r="Q30" s="1797"/>
      <c r="R30" s="770"/>
      <c r="S30" s="771"/>
      <c r="T30" s="770"/>
      <c r="U30" s="771"/>
      <c r="V30" s="770"/>
      <c r="W30" s="771"/>
      <c r="X30" s="772"/>
      <c r="Y30" s="3199"/>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9"/>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9"/>
      <c r="Z31" s="1816" t="str">
        <f t="shared" ref="Z31:Z45" si="13">Q31</f>
        <v>临街状况</v>
      </c>
      <c r="AA31" s="1813">
        <f t="shared" si="3"/>
        <v>1</v>
      </c>
      <c r="AB31" s="1813">
        <f t="shared" si="4"/>
        <v>1</v>
      </c>
      <c r="AC31" s="1813">
        <f t="shared" si="5"/>
        <v>1</v>
      </c>
    </row>
    <row r="32" spans="1:29" ht="28.8">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9"/>
      <c r="Q32" s="1812" t="str">
        <f t="shared" si="8"/>
        <v>毗邻道路的类型与等级</v>
      </c>
      <c r="R32" s="774" t="s">
        <v>17</v>
      </c>
      <c r="S32" s="775">
        <f t="shared" si="10"/>
        <v>100</v>
      </c>
      <c r="T32" s="774" t="s">
        <v>17</v>
      </c>
      <c r="U32" s="775">
        <f t="shared" si="11"/>
        <v>100</v>
      </c>
      <c r="V32" s="774" t="s">
        <v>17</v>
      </c>
      <c r="W32" s="775">
        <f t="shared" si="12"/>
        <v>100</v>
      </c>
      <c r="X32" s="1815"/>
      <c r="Y32" s="3199"/>
      <c r="Z32" s="1816" t="str">
        <f t="shared" si="13"/>
        <v>毗邻道路的类型与等级</v>
      </c>
      <c r="AA32" s="1813">
        <f t="shared" si="3"/>
        <v>1</v>
      </c>
      <c r="AB32" s="1813">
        <f t="shared" si="4"/>
        <v>1</v>
      </c>
      <c r="AC32" s="1813">
        <f t="shared" si="5"/>
        <v>1</v>
      </c>
    </row>
    <row r="33" spans="1:29" ht="15">
      <c r="A33" s="428"/>
      <c r="B33" s="456"/>
      <c r="C33" s="447"/>
      <c r="D33" s="448"/>
      <c r="E33" s="2615"/>
      <c r="F33" s="448"/>
      <c r="G33" s="2615"/>
      <c r="H33" s="448"/>
      <c r="I33" s="447"/>
      <c r="J33" s="448"/>
      <c r="K33" s="613"/>
      <c r="L33" s="1143"/>
      <c r="M33" s="1134"/>
      <c r="N33" s="1134"/>
      <c r="O33" s="1142"/>
      <c r="P33" s="3199"/>
      <c r="Q33" s="1812"/>
      <c r="R33" s="774"/>
      <c r="S33" s="775"/>
      <c r="T33" s="774"/>
      <c r="U33" s="775"/>
      <c r="V33" s="774"/>
      <c r="W33" s="775"/>
      <c r="X33" s="1815"/>
      <c r="Y33" s="3199"/>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9"/>
      <c r="Q34" s="1812" t="str">
        <f t="shared" si="8"/>
        <v>土地级别</v>
      </c>
      <c r="R34" s="774" t="s">
        <v>17</v>
      </c>
      <c r="S34" s="775">
        <f t="shared" si="10"/>
        <v>100</v>
      </c>
      <c r="T34" s="774" t="s">
        <v>17</v>
      </c>
      <c r="U34" s="775">
        <f t="shared" si="11"/>
        <v>100</v>
      </c>
      <c r="V34" s="774" t="s">
        <v>17</v>
      </c>
      <c r="W34" s="775">
        <f t="shared" si="12"/>
        <v>100</v>
      </c>
      <c r="X34" s="1815"/>
      <c r="Y34" s="3199"/>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9"/>
      <c r="Q35" s="1812">
        <f t="shared" si="8"/>
        <v>111</v>
      </c>
      <c r="R35" s="774" t="s">
        <v>17</v>
      </c>
      <c r="S35" s="775">
        <f t="shared" si="10"/>
        <v>100</v>
      </c>
      <c r="T35" s="774" t="s">
        <v>17</v>
      </c>
      <c r="U35" s="775">
        <f t="shared" si="11"/>
        <v>100</v>
      </c>
      <c r="V35" s="774" t="s">
        <v>17</v>
      </c>
      <c r="W35" s="775">
        <f t="shared" si="12"/>
        <v>100</v>
      </c>
      <c r="X35" s="1815"/>
      <c r="Y35" s="3199"/>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2" t="s">
        <v>2566</v>
      </c>
      <c r="Q36" s="1812">
        <f t="shared" si="8"/>
        <v>111</v>
      </c>
      <c r="R36" s="774" t="s">
        <v>17</v>
      </c>
      <c r="S36" s="775">
        <f t="shared" si="10"/>
        <v>100</v>
      </c>
      <c r="T36" s="774" t="s">
        <v>17</v>
      </c>
      <c r="U36" s="775">
        <f t="shared" si="11"/>
        <v>100</v>
      </c>
      <c r="V36" s="774" t="s">
        <v>17</v>
      </c>
      <c r="W36" s="775">
        <f t="shared" si="12"/>
        <v>100</v>
      </c>
      <c r="X36" s="1815"/>
      <c r="Y36" s="3203" t="s">
        <v>2566</v>
      </c>
      <c r="Z36" s="1816">
        <f t="shared" si="13"/>
        <v>111</v>
      </c>
      <c r="AA36" s="1813">
        <f t="shared" si="3"/>
        <v>1</v>
      </c>
      <c r="AB36" s="1813">
        <f t="shared" si="4"/>
        <v>1</v>
      </c>
      <c r="AC36" s="1813">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3"/>
      <c r="Q37" s="1812">
        <f t="shared" si="8"/>
        <v>111</v>
      </c>
      <c r="R37" s="777" t="s">
        <v>17</v>
      </c>
      <c r="S37" s="778">
        <f t="shared" si="10"/>
        <v>100</v>
      </c>
      <c r="T37" s="777" t="s">
        <v>17</v>
      </c>
      <c r="U37" s="778">
        <f t="shared" si="11"/>
        <v>100</v>
      </c>
      <c r="V37" s="777" t="s">
        <v>17</v>
      </c>
      <c r="W37" s="778">
        <f t="shared" si="12"/>
        <v>100</v>
      </c>
      <c r="X37" s="779"/>
      <c r="Y37" s="3203"/>
      <c r="Z37" s="780">
        <f t="shared" si="13"/>
        <v>111</v>
      </c>
      <c r="AA37" s="1813">
        <f t="shared" si="3"/>
        <v>1</v>
      </c>
      <c r="AB37" s="1813">
        <f t="shared" si="4"/>
        <v>1</v>
      </c>
      <c r="AC37" s="1813">
        <f t="shared" si="5"/>
        <v>1</v>
      </c>
    </row>
    <row r="38" spans="1:29" ht="15.6">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3"/>
      <c r="Q38" s="1812" t="str">
        <f>B38</f>
        <v>宗地面积</v>
      </c>
      <c r="R38" s="774" t="s">
        <v>17</v>
      </c>
      <c r="S38" s="775" t="e">
        <f t="shared" si="10"/>
        <v>#N/A</v>
      </c>
      <c r="T38" s="774" t="s">
        <v>17</v>
      </c>
      <c r="U38" s="775" t="e">
        <f t="shared" si="11"/>
        <v>#N/A</v>
      </c>
      <c r="V38" s="774" t="s">
        <v>17</v>
      </c>
      <c r="W38" s="775" t="e">
        <f t="shared" si="12"/>
        <v>#N/A</v>
      </c>
      <c r="X38" s="1815"/>
      <c r="Y38" s="3203"/>
      <c r="Z38" s="1816" t="str">
        <f t="shared" si="13"/>
        <v>宗地面积</v>
      </c>
      <c r="AA38" s="1813" t="e">
        <f t="shared" si="3"/>
        <v>#N/A</v>
      </c>
      <c r="AB38" s="1813" t="e">
        <f t="shared" si="4"/>
        <v>#N/A</v>
      </c>
      <c r="AC38" s="1813" t="e">
        <f t="shared" si="5"/>
        <v>#N/A</v>
      </c>
    </row>
    <row r="39" spans="1:29" ht="15">
      <c r="A39" s="472"/>
      <c r="B39" s="422" t="s">
        <v>2753</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03"/>
      <c r="Q39" s="1812" t="str">
        <f t="shared" ref="Q39:Q45" si="14">B39</f>
        <v>宗地形状</v>
      </c>
      <c r="R39" s="774" t="s">
        <v>17</v>
      </c>
      <c r="S39" s="775">
        <f t="shared" si="10"/>
        <v>100</v>
      </c>
      <c r="T39" s="774" t="s">
        <v>17</v>
      </c>
      <c r="U39" s="775">
        <f t="shared" si="11"/>
        <v>100</v>
      </c>
      <c r="V39" s="774" t="s">
        <v>17</v>
      </c>
      <c r="W39" s="775">
        <f t="shared" si="12"/>
        <v>100</v>
      </c>
      <c r="X39" s="1815"/>
      <c r="Y39" s="3203"/>
      <c r="Z39" s="1816" t="str">
        <f t="shared" si="13"/>
        <v>宗地形状</v>
      </c>
      <c r="AA39" s="1813">
        <f t="shared" si="3"/>
        <v>1</v>
      </c>
      <c r="AB39" s="1813">
        <f t="shared" si="4"/>
        <v>1</v>
      </c>
      <c r="AC39" s="1813">
        <f t="shared" si="5"/>
        <v>1</v>
      </c>
    </row>
    <row r="40" spans="1:29" ht="15">
      <c r="A40" s="472"/>
      <c r="B40" s="422" t="s">
        <v>2754</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03"/>
      <c r="Q40" s="1812" t="str">
        <f t="shared" si="14"/>
        <v>临街宽度及深度</v>
      </c>
      <c r="R40" s="774" t="s">
        <v>17</v>
      </c>
      <c r="S40" s="775">
        <f t="shared" si="10"/>
        <v>100</v>
      </c>
      <c r="T40" s="774" t="s">
        <v>17</v>
      </c>
      <c r="U40" s="775">
        <f t="shared" si="11"/>
        <v>100</v>
      </c>
      <c r="V40" s="774" t="s">
        <v>17</v>
      </c>
      <c r="W40" s="775">
        <f t="shared" si="12"/>
        <v>100</v>
      </c>
      <c r="X40" s="1815"/>
      <c r="Y40" s="3203"/>
      <c r="Z40" s="1816" t="str">
        <f t="shared" si="13"/>
        <v>临街宽度及深度</v>
      </c>
      <c r="AA40" s="1813">
        <f t="shared" si="3"/>
        <v>1</v>
      </c>
      <c r="AB40" s="1813">
        <f t="shared" si="4"/>
        <v>1</v>
      </c>
      <c r="AC40" s="1813">
        <f t="shared" si="5"/>
        <v>1</v>
      </c>
    </row>
    <row r="41" spans="1:29" s="117" customFormat="1" ht="15">
      <c r="A41" s="473"/>
      <c r="B41" s="422" t="s">
        <v>2755</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03"/>
      <c r="Q41" s="1812" t="str">
        <f t="shared" si="14"/>
        <v>宗地开发程度</v>
      </c>
      <c r="R41" s="770" t="s">
        <v>17</v>
      </c>
      <c r="S41" s="771">
        <f t="shared" si="10"/>
        <v>100</v>
      </c>
      <c r="T41" s="770" t="s">
        <v>17</v>
      </c>
      <c r="U41" s="771">
        <f t="shared" si="11"/>
        <v>100</v>
      </c>
      <c r="V41" s="770" t="s">
        <v>17</v>
      </c>
      <c r="W41" s="771">
        <f t="shared" si="12"/>
        <v>100</v>
      </c>
      <c r="X41" s="772"/>
      <c r="Y41" s="3203"/>
      <c r="Z41" s="55" t="str">
        <f t="shared" si="13"/>
        <v>宗地开发程度</v>
      </c>
      <c r="AA41" s="773">
        <f t="shared" si="3"/>
        <v>1</v>
      </c>
      <c r="AB41" s="773">
        <f t="shared" si="4"/>
        <v>1</v>
      </c>
      <c r="AC41" s="773">
        <f t="shared" si="5"/>
        <v>1</v>
      </c>
    </row>
    <row r="42" spans="1:29" ht="15">
      <c r="A42" s="472"/>
      <c r="B42" s="422" t="s">
        <v>2756</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03" t="s">
        <v>2566</v>
      </c>
      <c r="Q42" s="1812" t="str">
        <f t="shared" si="14"/>
        <v>工程地质条件</v>
      </c>
      <c r="R42" s="774" t="s">
        <v>17</v>
      </c>
      <c r="S42" s="775">
        <f t="shared" si="10"/>
        <v>100</v>
      </c>
      <c r="T42" s="774" t="s">
        <v>17</v>
      </c>
      <c r="U42" s="775">
        <f t="shared" si="11"/>
        <v>100</v>
      </c>
      <c r="V42" s="774" t="s">
        <v>17</v>
      </c>
      <c r="W42" s="775">
        <f t="shared" si="12"/>
        <v>100</v>
      </c>
      <c r="X42" s="1815"/>
      <c r="Y42" s="3203" t="s">
        <v>2566</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3"/>
      <c r="Q43" s="1812">
        <f t="shared" si="14"/>
        <v>111</v>
      </c>
      <c r="R43" s="774" t="s">
        <v>17</v>
      </c>
      <c r="S43" s="775">
        <f t="shared" si="10"/>
        <v>100</v>
      </c>
      <c r="T43" s="774" t="s">
        <v>17</v>
      </c>
      <c r="U43" s="775">
        <f t="shared" si="11"/>
        <v>100</v>
      </c>
      <c r="V43" s="774" t="s">
        <v>17</v>
      </c>
      <c r="W43" s="775">
        <f t="shared" si="12"/>
        <v>100</v>
      </c>
      <c r="X43" s="1815"/>
      <c r="Y43" s="3203"/>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3"/>
      <c r="Q44" s="1812">
        <f t="shared" si="14"/>
        <v>111</v>
      </c>
      <c r="R44" s="774" t="s">
        <v>17</v>
      </c>
      <c r="S44" s="775">
        <f t="shared" si="10"/>
        <v>100</v>
      </c>
      <c r="T44" s="774" t="s">
        <v>17</v>
      </c>
      <c r="U44" s="775">
        <f t="shared" si="11"/>
        <v>100</v>
      </c>
      <c r="V44" s="774" t="s">
        <v>17</v>
      </c>
      <c r="W44" s="775">
        <f t="shared" si="12"/>
        <v>100</v>
      </c>
      <c r="X44" s="1815"/>
      <c r="Y44" s="3203"/>
      <c r="Z44" s="1816">
        <f t="shared" si="13"/>
        <v>111</v>
      </c>
      <c r="AA44" s="1813">
        <f t="shared" si="3"/>
        <v>1</v>
      </c>
      <c r="AB44" s="1813">
        <f t="shared" si="4"/>
        <v>1</v>
      </c>
      <c r="AC44" s="1813">
        <f t="shared" si="5"/>
        <v>1</v>
      </c>
    </row>
    <row r="45" spans="1:29" s="471" customFormat="1" ht="15.6"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3"/>
      <c r="Q45" s="1812">
        <f t="shared" si="14"/>
        <v>111</v>
      </c>
      <c r="R45" s="777" t="s">
        <v>17</v>
      </c>
      <c r="S45" s="778">
        <f t="shared" si="10"/>
        <v>100</v>
      </c>
      <c r="T45" s="777" t="s">
        <v>17</v>
      </c>
      <c r="U45" s="778">
        <f t="shared" si="11"/>
        <v>100</v>
      </c>
      <c r="V45" s="777" t="s">
        <v>17</v>
      </c>
      <c r="W45" s="778">
        <f t="shared" si="12"/>
        <v>100</v>
      </c>
      <c r="X45" s="779"/>
      <c r="Y45" s="3203"/>
      <c r="Z45" s="780">
        <f t="shared" si="13"/>
        <v>111</v>
      </c>
      <c r="AA45" s="1813">
        <f t="shared" si="3"/>
        <v>1</v>
      </c>
      <c r="AB45" s="1813">
        <f t="shared" si="4"/>
        <v>1</v>
      </c>
      <c r="AC45" s="1813">
        <f t="shared" si="5"/>
        <v>1</v>
      </c>
    </row>
    <row r="46" spans="1:29" ht="14.4">
      <c r="A46" s="479" t="s">
        <v>2721</v>
      </c>
      <c r="B46" s="2708" t="s">
        <v>2757</v>
      </c>
      <c r="C46" s="682" t="s">
        <v>1</v>
      </c>
      <c r="D46" s="481"/>
      <c r="E46" s="482"/>
      <c r="F46" s="483"/>
      <c r="G46" s="484"/>
      <c r="H46" s="485"/>
      <c r="I46" s="482"/>
      <c r="J46" s="485"/>
      <c r="K46" s="783"/>
      <c r="L46" s="1146"/>
      <c r="M46" s="1147"/>
      <c r="N46" s="1134"/>
      <c r="O46" s="1147"/>
      <c r="P46" s="3196" t="str">
        <f>A46</f>
        <v>成交单价</v>
      </c>
      <c r="Q46" s="3196"/>
      <c r="R46" s="3191">
        <f>E46</f>
        <v>0</v>
      </c>
      <c r="S46" s="3191"/>
      <c r="T46" s="3191">
        <f>G46</f>
        <v>0</v>
      </c>
      <c r="U46" s="3191"/>
      <c r="V46" s="3191">
        <f>I46</f>
        <v>0</v>
      </c>
      <c r="W46" s="3191"/>
      <c r="X46" s="759"/>
      <c r="Y46" s="781"/>
      <c r="Z46" s="759"/>
      <c r="AA46" s="759"/>
      <c r="AB46" s="759"/>
      <c r="AC46" s="759"/>
    </row>
    <row r="47" spans="1:29" ht="1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96" t="str">
        <f>A47</f>
        <v>比较价值（元/平方米）</v>
      </c>
      <c r="Q47" s="3196"/>
      <c r="R47" s="3223" t="e">
        <f>ROUND(PRODUCT(R46,AA7:AA45),0)</f>
        <v>#DIV/0!</v>
      </c>
      <c r="S47" s="3223"/>
      <c r="T47" s="3223" t="e">
        <f>ROUND(PRODUCT(T46,AB7:AB45),0)</f>
        <v>#DIV/0!</v>
      </c>
      <c r="U47" s="3223"/>
      <c r="V47" s="3223" t="e">
        <f>ROUND(PRODUCT(V46,AC7:AC45),0)</f>
        <v>#DIV/0!</v>
      </c>
      <c r="W47" s="3223"/>
      <c r="X47" s="759"/>
      <c r="Y47" s="759"/>
      <c r="Z47" s="759"/>
      <c r="AA47" s="759"/>
      <c r="AB47" s="759"/>
      <c r="AC47" s="759"/>
    </row>
    <row r="48" spans="1:29" ht="15" thickBot="1">
      <c r="A48" s="492" t="s">
        <v>2758</v>
      </c>
      <c r="B48" s="493"/>
      <c r="C48" s="494" t="e">
        <f>R48</f>
        <v>#DIV/0!</v>
      </c>
      <c r="D48" s="494"/>
      <c r="E48" s="494"/>
      <c r="F48" s="494"/>
      <c r="G48" s="494"/>
      <c r="H48" s="494"/>
      <c r="I48" s="494"/>
      <c r="J48" s="494"/>
      <c r="K48" s="785"/>
      <c r="L48" s="1146"/>
      <c r="M48" s="1147"/>
      <c r="N48" s="1147"/>
      <c r="O48" s="1147"/>
      <c r="P48" s="3193" t="str">
        <f>A48</f>
        <v>估价对象XX用房的比较价值（楼面单价，元/平方米）</v>
      </c>
      <c r="Q48" s="3194"/>
      <c r="R48" s="3224" t="e">
        <f>ROUND(AVERAGE(R47:V47),0)</f>
        <v>#DIV/0!</v>
      </c>
      <c r="S48" s="3224"/>
      <c r="T48" s="3224"/>
      <c r="U48" s="3224"/>
      <c r="V48" s="3224"/>
      <c r="W48" s="322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9" t="s">
        <v>2761</v>
      </c>
      <c r="D55" s="2710" t="s">
        <v>2762</v>
      </c>
      <c r="E55" s="686" t="s">
        <v>2763</v>
      </c>
      <c r="F55" s="1110" t="s">
        <v>2764</v>
      </c>
      <c r="G55" s="3179" t="s">
        <v>2765</v>
      </c>
      <c r="H55" s="3225"/>
      <c r="I55" s="144" t="s">
        <v>2766</v>
      </c>
      <c r="J55" s="2711">
        <f>项目基本情况!F35</f>
        <v>0</v>
      </c>
      <c r="K55" s="2712" t="s">
        <v>2767</v>
      </c>
      <c r="L55" s="1109"/>
      <c r="M55" s="1147"/>
      <c r="N55" s="1147"/>
      <c r="O55" s="1147"/>
    </row>
    <row r="56" spans="1:15" s="692" customFormat="1">
      <c r="A56" s="688" t="s">
        <v>2768</v>
      </c>
      <c r="B56" s="689" t="e">
        <f>C48</f>
        <v>#DIV/0!</v>
      </c>
      <c r="C56" s="690">
        <v>1</v>
      </c>
      <c r="D56" s="1166">
        <v>1</v>
      </c>
      <c r="E56" s="690">
        <f>'数据-汇总表'!E8+'数据-汇总表'!E9</f>
        <v>4531.2000000000007</v>
      </c>
      <c r="F56" s="1106" t="e">
        <f t="shared" ref="F56:F65" si="15">ROUND(B56*E56/10000,0)</f>
        <v>#DIV/0!</v>
      </c>
      <c r="G56" s="3178"/>
      <c r="H56" s="3196"/>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26"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26"/>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26"/>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26"/>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0.25</v>
      </c>
      <c r="D61" s="1167">
        <v>0.25</v>
      </c>
      <c r="E61" s="261">
        <f>'数据-汇总表'!E11</f>
        <v>3196.2</v>
      </c>
      <c r="F61" s="1106" t="e">
        <f t="shared" si="15"/>
        <v>#DIV/0!</v>
      </c>
      <c r="G61" s="2713" t="s">
        <v>2775</v>
      </c>
      <c r="H61" s="1107" t="str">
        <f>项目基本情况!C37</f>
        <v>四级</v>
      </c>
      <c r="I61" s="1111">
        <f>SUMIF(修正!A45:A56,H61,修正!F45:F56)</f>
        <v>0.25</v>
      </c>
      <c r="J61" s="1115"/>
      <c r="K61" s="1147"/>
      <c r="L61" s="944"/>
      <c r="M61" s="944"/>
      <c r="N61" s="944"/>
      <c r="O61" s="944"/>
    </row>
    <row r="62" spans="1:15" s="692" customFormat="1">
      <c r="A62" s="693" t="s">
        <v>2776</v>
      </c>
      <c r="B62" s="262" t="e">
        <f t="shared" si="17"/>
        <v>#DIV/0!</v>
      </c>
      <c r="C62" s="200">
        <f t="shared" si="16"/>
        <v>0.25</v>
      </c>
      <c r="D62" s="1167">
        <v>0.25</v>
      </c>
      <c r="E62" s="261">
        <f>'数据-汇总表'!E12</f>
        <v>0</v>
      </c>
      <c r="F62" s="1106" t="e">
        <f t="shared" si="15"/>
        <v>#DIV/0!</v>
      </c>
      <c r="G62" s="1112" t="s">
        <v>2777</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3" t="s">
        <v>2770</v>
      </c>
      <c r="H64" s="1107">
        <f>项目基本情况!B37</f>
        <v>0</v>
      </c>
      <c r="I64" s="1111">
        <f>SUMIF(修正!A45:A56,H64,修正!H45:H56)</f>
        <v>0</v>
      </c>
      <c r="J64" s="1115"/>
      <c r="K64" s="1148"/>
      <c r="L64" s="944"/>
      <c r="M64" s="944"/>
      <c r="N64" s="944"/>
      <c r="O64" s="944"/>
    </row>
    <row r="65" spans="1:17" s="692" customFormat="1" ht="14.4" thickBot="1">
      <c r="A65" s="693" t="s">
        <v>2781</v>
      </c>
      <c r="B65" s="262" t="e">
        <f t="shared" si="17"/>
        <v>#DIV/0!</v>
      </c>
      <c r="C65" s="200">
        <f t="shared" si="16"/>
        <v>0.2</v>
      </c>
      <c r="D65" s="1167">
        <v>0.25</v>
      </c>
      <c r="E65" s="261">
        <f>'数据-汇总表'!E15</f>
        <v>0</v>
      </c>
      <c r="F65" s="1106" t="e">
        <f t="shared" si="15"/>
        <v>#DIV/0!</v>
      </c>
      <c r="G65" s="2714" t="s">
        <v>2775</v>
      </c>
      <c r="H65" s="1117" t="str">
        <f>项目基本情况!C37</f>
        <v>四级</v>
      </c>
      <c r="I65" s="1113">
        <f>SUMIF(修正!A45:A56,H65,修正!H45:H56)</f>
        <v>0.2</v>
      </c>
      <c r="J65" s="1116"/>
      <c r="K65" s="1147"/>
      <c r="L65" s="944"/>
      <c r="M65" s="944"/>
      <c r="N65" s="944"/>
      <c r="O65" s="944"/>
    </row>
    <row r="66" spans="1:17" s="692" customFormat="1" thickBot="1">
      <c r="A66" s="695" t="s">
        <v>2782</v>
      </c>
      <c r="B66" s="696" t="s">
        <v>28</v>
      </c>
      <c r="C66" s="696" t="s">
        <v>29</v>
      </c>
      <c r="D66" s="696" t="s">
        <v>1029</v>
      </c>
      <c r="E66" s="696">
        <f>IF(B46="楼面地价",SUM(E56:E65),'数据-汇总表'!D3)</f>
        <v>7727.4000000000005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2.2" thickBot="1">
      <c r="A69" s="763" t="s">
        <v>2675</v>
      </c>
      <c r="B69" s="759"/>
      <c r="C69" s="764"/>
      <c r="D69" s="764"/>
      <c r="E69" s="764"/>
      <c r="F69" s="765"/>
      <c r="G69" s="765"/>
      <c r="H69" s="764"/>
      <c r="I69" s="764"/>
      <c r="J69" s="1162"/>
      <c r="K69" s="1163"/>
      <c r="L69" s="1164"/>
      <c r="M69" s="1162"/>
      <c r="N69" s="1162"/>
      <c r="O69" s="1162"/>
      <c r="P69" s="503"/>
      <c r="Q69" s="504"/>
    </row>
    <row r="70" spans="1:17" s="508" customFormat="1" ht="14.4">
      <c r="A70" s="2715" t="s">
        <v>2783</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6"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9"/>
      <c r="N71" s="595"/>
      <c r="O71" s="1570"/>
      <c r="P71" s="504"/>
    </row>
    <row r="72" spans="1:17" s="117" customFormat="1" ht="15" thickBot="1">
      <c r="A72" s="515" t="s">
        <v>2586</v>
      </c>
      <c r="B72" s="516"/>
      <c r="C72" s="517"/>
      <c r="D72" s="518"/>
      <c r="E72" s="518"/>
      <c r="F72" s="518"/>
      <c r="G72" s="518"/>
      <c r="H72" s="518"/>
      <c r="I72" s="518"/>
      <c r="J72" s="518"/>
      <c r="K72" s="518"/>
      <c r="L72" s="518"/>
      <c r="M72" s="519"/>
      <c r="N72" s="518"/>
      <c r="O72" s="1165"/>
      <c r="P72" s="504"/>
      <c r="Q72" s="504"/>
    </row>
    <row r="73" spans="1:17" s="117" customFormat="1" ht="14.4">
      <c r="A73" s="521" t="s">
        <v>2551</v>
      </c>
      <c r="B73" s="510"/>
      <c r="C73" s="522" t="s">
        <v>2653</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2589</v>
      </c>
      <c r="B75" s="528" t="s">
        <v>2555</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2558</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2692</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2751</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2646</v>
      </c>
      <c r="B4" s="402"/>
      <c r="C4" s="3179" t="s">
        <v>2647</v>
      </c>
      <c r="D4" s="3180"/>
      <c r="E4" s="3181" t="s">
        <v>2648</v>
      </c>
      <c r="F4" s="3182"/>
      <c r="G4" s="3179" t="s">
        <v>2649</v>
      </c>
      <c r="H4" s="3180"/>
      <c r="I4" s="3179" t="s">
        <v>2650</v>
      </c>
      <c r="J4" s="3180"/>
      <c r="K4" s="610" t="s">
        <v>2651</v>
      </c>
      <c r="L4" s="1133"/>
      <c r="M4" s="1134"/>
      <c r="N4" s="1134"/>
      <c r="O4" s="1134"/>
      <c r="P4" s="3183" t="s">
        <v>2652</v>
      </c>
      <c r="Q4" s="3184"/>
      <c r="R4" s="3166" t="s">
        <v>2648</v>
      </c>
      <c r="S4" s="3167"/>
      <c r="T4" s="3166" t="s">
        <v>2649</v>
      </c>
      <c r="U4" s="3167"/>
      <c r="V4" s="3191" t="s">
        <v>2650</v>
      </c>
      <c r="W4" s="3191"/>
      <c r="X4" s="1815"/>
      <c r="Y4" s="3166" t="s">
        <v>2652</v>
      </c>
      <c r="Z4" s="3167"/>
      <c r="AA4" s="3161" t="s">
        <v>2648</v>
      </c>
      <c r="AB4" s="3162" t="s">
        <v>2649</v>
      </c>
      <c r="AC4" s="3161" t="s">
        <v>2650</v>
      </c>
    </row>
    <row r="5" spans="1:29">
      <c r="A5" s="404"/>
      <c r="B5" s="405"/>
      <c r="C5" s="3172" t="s">
        <v>2543</v>
      </c>
      <c r="D5" s="3173"/>
      <c r="E5" s="3170" t="s">
        <v>2544</v>
      </c>
      <c r="F5" s="3171"/>
      <c r="G5" s="3172" t="s">
        <v>2545</v>
      </c>
      <c r="H5" s="3173"/>
      <c r="I5" s="3172" t="s">
        <v>2546</v>
      </c>
      <c r="J5" s="3173"/>
      <c r="K5" s="610"/>
      <c r="L5" s="1133"/>
      <c r="M5" s="1134"/>
      <c r="N5" s="1134"/>
      <c r="O5" s="1134"/>
      <c r="P5" s="3185"/>
      <c r="Q5" s="3186"/>
      <c r="R5" s="3168"/>
      <c r="S5" s="3169"/>
      <c r="T5" s="3168"/>
      <c r="U5" s="3169"/>
      <c r="V5" s="3191"/>
      <c r="W5" s="3191"/>
      <c r="X5" s="1815"/>
      <c r="Y5" s="3168"/>
      <c r="Z5" s="3169"/>
      <c r="AA5" s="3162"/>
      <c r="AB5" s="3162"/>
      <c r="AC5" s="3162"/>
    </row>
    <row r="6" spans="1:29" ht="15" thickBot="1">
      <c r="A6" s="406"/>
      <c r="B6" s="407"/>
      <c r="C6" s="3227" t="s">
        <v>2798</v>
      </c>
      <c r="D6" s="3228"/>
      <c r="E6" s="3229" t="s">
        <v>2798</v>
      </c>
      <c r="F6" s="3230"/>
      <c r="G6" s="3227" t="s">
        <v>2798</v>
      </c>
      <c r="H6" s="3228"/>
      <c r="I6" s="3227" t="s">
        <v>2798</v>
      </c>
      <c r="J6" s="3228"/>
      <c r="K6" s="610" t="s">
        <v>2548</v>
      </c>
      <c r="L6" s="1133"/>
      <c r="M6" s="1134"/>
      <c r="N6" s="1134"/>
      <c r="O6" s="1134"/>
      <c r="P6" s="3187"/>
      <c r="Q6" s="3188"/>
      <c r="R6" s="3168"/>
      <c r="S6" s="3169"/>
      <c r="T6" s="3189"/>
      <c r="U6" s="3190"/>
      <c r="V6" s="3191"/>
      <c r="W6" s="3191"/>
      <c r="X6" s="1815"/>
      <c r="Y6" s="3189"/>
      <c r="Z6" s="3190"/>
      <c r="AA6" s="3163"/>
      <c r="AB6" s="3163"/>
      <c r="AC6" s="3163"/>
    </row>
    <row r="7" spans="1:29" s="117" customFormat="1" ht="15" thickBot="1">
      <c r="A7" s="408" t="s">
        <v>2549</v>
      </c>
      <c r="B7" s="409"/>
      <c r="C7" s="410">
        <f>'数据-取费表'!B2</f>
        <v>43269</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64" t="s">
        <v>2550</v>
      </c>
      <c r="Q7" s="3192"/>
      <c r="R7" s="770" t="s">
        <v>17</v>
      </c>
      <c r="S7" s="771">
        <f t="shared" ref="S7:S15" si="0">F7</f>
        <v>0</v>
      </c>
      <c r="T7" s="770" t="s">
        <v>17</v>
      </c>
      <c r="U7" s="771">
        <f t="shared" ref="U7:U15" si="1">H7</f>
        <v>0</v>
      </c>
      <c r="V7" s="770" t="s">
        <v>17</v>
      </c>
      <c r="W7" s="771">
        <f t="shared" ref="W7:W15" si="2">J7</f>
        <v>0</v>
      </c>
      <c r="X7" s="772"/>
      <c r="Y7" s="3164" t="s">
        <v>2550</v>
      </c>
      <c r="Z7" s="3165"/>
      <c r="AA7" s="773" t="e">
        <f>D7/F7</f>
        <v>#DIV/0!</v>
      </c>
      <c r="AB7" s="773" t="e">
        <f>D7/H7</f>
        <v>#DIV/0!</v>
      </c>
      <c r="AC7" s="773"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4" t="s">
        <v>2553</v>
      </c>
      <c r="Q8" s="3165"/>
      <c r="R8" s="770" t="s">
        <v>17</v>
      </c>
      <c r="S8" s="771">
        <f t="shared" si="0"/>
        <v>0</v>
      </c>
      <c r="T8" s="770" t="s">
        <v>17</v>
      </c>
      <c r="U8" s="771">
        <f t="shared" si="1"/>
        <v>0</v>
      </c>
      <c r="V8" s="770" t="s">
        <v>17</v>
      </c>
      <c r="W8" s="771">
        <f t="shared" si="2"/>
        <v>0</v>
      </c>
      <c r="X8" s="772"/>
      <c r="Y8" s="3164" t="s">
        <v>2553</v>
      </c>
      <c r="Z8" s="3165"/>
      <c r="AA8" s="773" t="e">
        <f t="shared" ref="AA8:AA40" si="3">D8/F8</f>
        <v>#DIV/0!</v>
      </c>
      <c r="AB8" s="773" t="e">
        <f t="shared" ref="AB8:AB40" si="4">D8/H8</f>
        <v>#DIV/0!</v>
      </c>
      <c r="AC8" s="773" t="e">
        <f t="shared" ref="AC8:AC40" si="5">D8/J8</f>
        <v>#DIV/0!</v>
      </c>
    </row>
    <row r="9" spans="1:29" s="117" customFormat="1" ht="14.4">
      <c r="A9" s="415" t="s">
        <v>2554</v>
      </c>
      <c r="B9" s="71" t="s">
        <v>2555</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96" t="s">
        <v>2556</v>
      </c>
      <c r="Q9" s="1797" t="str">
        <f t="shared" ref="Q9:Q15" si="6">B9</f>
        <v>用途</v>
      </c>
      <c r="R9" s="770" t="s">
        <v>17</v>
      </c>
      <c r="S9" s="771">
        <f t="shared" si="0"/>
        <v>100</v>
      </c>
      <c r="T9" s="770" t="s">
        <v>17</v>
      </c>
      <c r="U9" s="771">
        <f t="shared" si="1"/>
        <v>100</v>
      </c>
      <c r="V9" s="770" t="s">
        <v>17</v>
      </c>
      <c r="W9" s="771">
        <f t="shared" si="2"/>
        <v>100</v>
      </c>
      <c r="X9" s="772"/>
      <c r="Y9" s="3011" t="s">
        <v>2557</v>
      </c>
      <c r="Z9" s="55" t="str">
        <f t="shared" ref="Z9:Z15" si="7">Q9</f>
        <v>用途</v>
      </c>
      <c r="AA9" s="773">
        <f t="shared" si="3"/>
        <v>1</v>
      </c>
      <c r="AB9" s="773">
        <f t="shared" si="4"/>
        <v>1</v>
      </c>
      <c r="AC9" s="773">
        <f t="shared" si="5"/>
        <v>1</v>
      </c>
    </row>
    <row r="10" spans="1:29" s="427" customFormat="1" ht="28.8">
      <c r="A10" s="421"/>
      <c r="B10" s="422" t="s">
        <v>2558</v>
      </c>
      <c r="C10" s="432"/>
      <c r="D10" s="136">
        <v>100</v>
      </c>
      <c r="E10" s="432"/>
      <c r="F10" s="136">
        <f>ROUND(100/'数据-取费表'!G16,0)</f>
        <v>126</v>
      </c>
      <c r="G10" s="432"/>
      <c r="H10" s="136">
        <f>ROUND(100/'数据-取费表'!G16,0)</f>
        <v>126</v>
      </c>
      <c r="I10" s="432"/>
      <c r="J10" s="136">
        <f>ROUND(100/'数据-取费表'!G16,0)</f>
        <v>126</v>
      </c>
      <c r="K10" s="672"/>
      <c r="L10" s="1138"/>
      <c r="M10" s="1139"/>
      <c r="N10" s="1139"/>
      <c r="O10" s="1140"/>
      <c r="P10" s="3196"/>
      <c r="Q10" s="1797" t="str">
        <f t="shared" si="6"/>
        <v>土地使用年限（年）</v>
      </c>
      <c r="R10" s="770" t="s">
        <v>17</v>
      </c>
      <c r="S10" s="771">
        <f t="shared" si="0"/>
        <v>126</v>
      </c>
      <c r="T10" s="770" t="s">
        <v>17</v>
      </c>
      <c r="U10" s="771">
        <f t="shared" si="1"/>
        <v>126</v>
      </c>
      <c r="V10" s="770" t="s">
        <v>17</v>
      </c>
      <c r="W10" s="771">
        <f t="shared" si="2"/>
        <v>126</v>
      </c>
      <c r="X10" s="772"/>
      <c r="Y10" s="3011"/>
      <c r="Z10" s="55" t="str">
        <f t="shared" si="7"/>
        <v>土地使用年限（年）</v>
      </c>
      <c r="AA10" s="773">
        <f t="shared" si="3"/>
        <v>0.79365079365079361</v>
      </c>
      <c r="AB10" s="773">
        <f t="shared" si="4"/>
        <v>0.79365079365079361</v>
      </c>
      <c r="AC10" s="773">
        <f t="shared" si="5"/>
        <v>0.79365079365079361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6"/>
      <c r="Q11" s="1797"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6"/>
      <c r="Q12" s="1797">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6"/>
      <c r="Q13" s="1797">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6"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6"/>
      <c r="Q14" s="1797">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69">
      <c r="A15" s="440" t="s">
        <v>2560</v>
      </c>
      <c r="B15" s="629" t="s">
        <v>2799</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8" t="s">
        <v>2561</v>
      </c>
      <c r="Q15" s="1812" t="str">
        <f t="shared" si="6"/>
        <v>产业集聚程度</v>
      </c>
      <c r="R15" s="774" t="s">
        <v>17</v>
      </c>
      <c r="S15" s="775">
        <f t="shared" si="0"/>
        <v>100</v>
      </c>
      <c r="T15" s="774" t="s">
        <v>17</v>
      </c>
      <c r="U15" s="775">
        <f t="shared" si="1"/>
        <v>100</v>
      </c>
      <c r="V15" s="774" t="s">
        <v>17</v>
      </c>
      <c r="W15" s="775">
        <f t="shared" si="2"/>
        <v>100</v>
      </c>
      <c r="X15" s="1815"/>
      <c r="Y15" s="3198" t="s">
        <v>2561</v>
      </c>
      <c r="Z15" s="1816" t="str">
        <f t="shared" si="7"/>
        <v>产业集聚程度</v>
      </c>
      <c r="AA15" s="1813">
        <f t="shared" si="3"/>
        <v>1</v>
      </c>
      <c r="AB15" s="1813">
        <f t="shared" si="4"/>
        <v>1</v>
      </c>
      <c r="AC15" s="1813">
        <f t="shared" si="5"/>
        <v>1</v>
      </c>
    </row>
    <row r="16" spans="1:29" ht="15">
      <c r="A16" s="428"/>
      <c r="B16" s="630"/>
      <c r="C16" s="447"/>
      <c r="D16" s="448"/>
      <c r="E16" s="2615"/>
      <c r="F16" s="448"/>
      <c r="G16" s="2615"/>
      <c r="H16" s="450"/>
      <c r="I16" s="2615"/>
      <c r="J16" s="448"/>
      <c r="K16" s="672"/>
      <c r="L16" s="1143"/>
      <c r="M16" s="1134"/>
      <c r="N16" s="1134"/>
      <c r="O16" s="1142"/>
      <c r="P16" s="3199"/>
      <c r="Q16" s="1812"/>
      <c r="R16" s="774"/>
      <c r="S16" s="775"/>
      <c r="T16" s="774"/>
      <c r="U16" s="775"/>
      <c r="V16" s="774"/>
      <c r="W16" s="775"/>
      <c r="X16" s="1815"/>
      <c r="Y16" s="3199"/>
      <c r="Z16" s="1816"/>
      <c r="AA16" s="1813">
        <v>1</v>
      </c>
      <c r="AB16" s="1813">
        <v>1</v>
      </c>
      <c r="AC16" s="1813">
        <v>1</v>
      </c>
    </row>
    <row r="17" spans="1:29" ht="96.6">
      <c r="A17" s="428"/>
      <c r="B17" s="631" t="s">
        <v>2710</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9"/>
      <c r="Q17" s="1812" t="str">
        <f>B17</f>
        <v>交通便捷度</v>
      </c>
      <c r="R17" s="774" t="s">
        <v>17</v>
      </c>
      <c r="S17" s="775">
        <f>F17</f>
        <v>100</v>
      </c>
      <c r="T17" s="774" t="s">
        <v>17</v>
      </c>
      <c r="U17" s="775">
        <f>H17</f>
        <v>100</v>
      </c>
      <c r="V17" s="774" t="s">
        <v>17</v>
      </c>
      <c r="W17" s="775">
        <f>J17</f>
        <v>100</v>
      </c>
      <c r="X17" s="1815"/>
      <c r="Y17" s="3199"/>
      <c r="Z17" s="1816" t="str">
        <f>Q17</f>
        <v>交通便捷度</v>
      </c>
      <c r="AA17" s="1813">
        <f t="shared" si="3"/>
        <v>1</v>
      </c>
      <c r="AB17" s="1813">
        <f t="shared" si="4"/>
        <v>1</v>
      </c>
      <c r="AC17" s="1813">
        <f t="shared" si="5"/>
        <v>1</v>
      </c>
    </row>
    <row r="18" spans="1:29" ht="15">
      <c r="A18" s="428"/>
      <c r="B18" s="632"/>
      <c r="C18" s="447"/>
      <c r="D18" s="448"/>
      <c r="E18" s="2609"/>
      <c r="F18" s="448"/>
      <c r="G18" s="2609"/>
      <c r="H18" s="448"/>
      <c r="I18" s="2608"/>
      <c r="J18" s="448"/>
      <c r="K18" s="672"/>
      <c r="L18" s="1143"/>
      <c r="M18" s="1134"/>
      <c r="N18" s="1134"/>
      <c r="O18" s="1142"/>
      <c r="P18" s="3199"/>
      <c r="Q18" s="1812"/>
      <c r="R18" s="774"/>
      <c r="S18" s="775"/>
      <c r="T18" s="774"/>
      <c r="U18" s="775"/>
      <c r="V18" s="774"/>
      <c r="W18" s="775"/>
      <c r="X18" s="1815"/>
      <c r="Y18" s="3199"/>
      <c r="Z18" s="1816"/>
      <c r="AA18" s="1813">
        <v>1</v>
      </c>
      <c r="AB18" s="1813">
        <v>1</v>
      </c>
      <c r="AC18" s="1813">
        <v>1</v>
      </c>
    </row>
    <row r="19" spans="1:29" ht="28.8">
      <c r="A19" s="428"/>
      <c r="B19" s="631" t="s">
        <v>2749</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9"/>
      <c r="Q19" s="1812" t="str">
        <f t="shared" ref="Q19:Q33" si="8">B19</f>
        <v>区域土地利用方向</v>
      </c>
      <c r="R19" s="774" t="s">
        <v>17</v>
      </c>
      <c r="S19" s="775">
        <f>F19</f>
        <v>100</v>
      </c>
      <c r="T19" s="774" t="s">
        <v>17</v>
      </c>
      <c r="U19" s="775">
        <f>H19</f>
        <v>100</v>
      </c>
      <c r="V19" s="774" t="s">
        <v>17</v>
      </c>
      <c r="W19" s="775">
        <f>J19</f>
        <v>100</v>
      </c>
      <c r="X19" s="1815"/>
      <c r="Y19" s="3199"/>
      <c r="Z19" s="1816" t="str">
        <f>Q19</f>
        <v>区域土地利用方向</v>
      </c>
      <c r="AA19" s="1813">
        <f t="shared" si="3"/>
        <v>1</v>
      </c>
      <c r="AB19" s="1813">
        <f t="shared" si="4"/>
        <v>1</v>
      </c>
      <c r="AC19" s="1813">
        <f t="shared" si="5"/>
        <v>1</v>
      </c>
    </row>
    <row r="20" spans="1:29" ht="15">
      <c r="A20" s="404"/>
      <c r="B20" s="632"/>
      <c r="C20" s="447"/>
      <c r="D20" s="448"/>
      <c r="E20" s="2609"/>
      <c r="F20" s="448"/>
      <c r="G20" s="2609"/>
      <c r="H20" s="448"/>
      <c r="I20" s="2609"/>
      <c r="J20" s="448"/>
      <c r="K20" s="812"/>
      <c r="L20" s="1143"/>
      <c r="M20" s="1134"/>
      <c r="N20" s="1134"/>
      <c r="O20" s="1142"/>
      <c r="P20" s="3199"/>
      <c r="Q20" s="1812"/>
      <c r="R20" s="774"/>
      <c r="S20" s="775"/>
      <c r="T20" s="774"/>
      <c r="U20" s="775"/>
      <c r="V20" s="774"/>
      <c r="W20" s="775"/>
      <c r="X20" s="1815"/>
      <c r="Y20" s="3199"/>
      <c r="Z20" s="1816"/>
      <c r="AA20" s="1813"/>
      <c r="AB20" s="1813"/>
      <c r="AC20" s="1813"/>
    </row>
    <row r="21" spans="1:29" ht="82.8">
      <c r="A21" s="404"/>
      <c r="B21" s="631" t="s">
        <v>2800</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9"/>
      <c r="Q21" s="1812" t="str">
        <f t="shared" si="8"/>
        <v>环境状况</v>
      </c>
      <c r="R21" s="774" t="s">
        <v>17</v>
      </c>
      <c r="S21" s="775">
        <f>F21</f>
        <v>100</v>
      </c>
      <c r="T21" s="774" t="s">
        <v>17</v>
      </c>
      <c r="U21" s="775">
        <f>H21</f>
        <v>100</v>
      </c>
      <c r="V21" s="774" t="s">
        <v>17</v>
      </c>
      <c r="W21" s="775">
        <f>J21</f>
        <v>100</v>
      </c>
      <c r="X21" s="1815"/>
      <c r="Y21" s="3199"/>
      <c r="Z21" s="1816" t="str">
        <f>Q21</f>
        <v>环境状况</v>
      </c>
      <c r="AA21" s="1813">
        <f t="shared" si="3"/>
        <v>1</v>
      </c>
      <c r="AB21" s="1813">
        <f t="shared" si="4"/>
        <v>1</v>
      </c>
      <c r="AC21" s="1813">
        <f t="shared" si="5"/>
        <v>1</v>
      </c>
    </row>
    <row r="22" spans="1:29" ht="15">
      <c r="A22" s="404"/>
      <c r="B22" s="632"/>
      <c r="C22" s="447"/>
      <c r="D22" s="448"/>
      <c r="E22" s="2615"/>
      <c r="F22" s="448"/>
      <c r="G22" s="2615"/>
      <c r="H22" s="448"/>
      <c r="I22" s="447"/>
      <c r="J22" s="448"/>
      <c r="K22" s="672"/>
      <c r="L22" s="1143"/>
      <c r="M22" s="1134"/>
      <c r="N22" s="1134"/>
      <c r="O22" s="1142"/>
      <c r="P22" s="3199"/>
      <c r="Q22" s="1812"/>
      <c r="R22" s="774"/>
      <c r="S22" s="775"/>
      <c r="T22" s="774"/>
      <c r="U22" s="775"/>
      <c r="V22" s="774"/>
      <c r="W22" s="775"/>
      <c r="X22" s="1815"/>
      <c r="Y22" s="3199"/>
      <c r="Z22" s="1816"/>
      <c r="AA22" s="1813">
        <v>1</v>
      </c>
      <c r="AB22" s="1813">
        <v>1</v>
      </c>
      <c r="AC22" s="1813">
        <v>1</v>
      </c>
    </row>
    <row r="23" spans="1:29" s="117" customFormat="1" ht="41.4">
      <c r="A23" s="649"/>
      <c r="B23" s="633" t="s">
        <v>2655</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9"/>
      <c r="Q23" s="1797" t="str">
        <f t="shared" si="8"/>
        <v>公共配套设施</v>
      </c>
      <c r="R23" s="770" t="s">
        <v>17</v>
      </c>
      <c r="S23" s="771">
        <f>F23</f>
        <v>100</v>
      </c>
      <c r="T23" s="770" t="s">
        <v>17</v>
      </c>
      <c r="U23" s="771">
        <f>H23</f>
        <v>100</v>
      </c>
      <c r="V23" s="770" t="s">
        <v>17</v>
      </c>
      <c r="W23" s="771">
        <f>J23</f>
        <v>100</v>
      </c>
      <c r="X23" s="772"/>
      <c r="Y23" s="3199"/>
      <c r="Z23" s="55" t="str">
        <f>Q23</f>
        <v>公共配套设施</v>
      </c>
      <c r="AA23" s="1813">
        <f>D23/F23</f>
        <v>1</v>
      </c>
      <c r="AB23" s="1813">
        <f>D23/H23</f>
        <v>1</v>
      </c>
      <c r="AC23" s="1813">
        <f>D23/J23</f>
        <v>1</v>
      </c>
    </row>
    <row r="24" spans="1:29" s="117" customFormat="1" ht="15">
      <c r="A24" s="649"/>
      <c r="B24" s="632"/>
      <c r="C24" s="2704"/>
      <c r="D24" s="448"/>
      <c r="E24" s="2615"/>
      <c r="F24" s="448"/>
      <c r="G24" s="2615"/>
      <c r="H24" s="448"/>
      <c r="I24" s="447"/>
      <c r="J24" s="448"/>
      <c r="K24" s="672"/>
      <c r="L24" s="1135"/>
      <c r="M24" s="1136"/>
      <c r="N24" s="1136"/>
      <c r="O24" s="1137"/>
      <c r="P24" s="3199"/>
      <c r="Q24" s="1797"/>
      <c r="R24" s="770"/>
      <c r="S24" s="771"/>
      <c r="T24" s="770"/>
      <c r="U24" s="771"/>
      <c r="V24" s="770"/>
      <c r="W24" s="771"/>
      <c r="X24" s="772"/>
      <c r="Y24" s="3199"/>
      <c r="Z24" s="55"/>
      <c r="AA24" s="773">
        <v>1</v>
      </c>
      <c r="AB24" s="773">
        <v>1</v>
      </c>
      <c r="AC24" s="773">
        <v>1</v>
      </c>
    </row>
    <row r="25" spans="1:29" s="117" customFormat="1" ht="41.4">
      <c r="A25" s="649"/>
      <c r="B25" s="633" t="s">
        <v>2656</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9"/>
      <c r="Q25" s="1797" t="str">
        <f t="shared" ref="Q25" si="9">B25</f>
        <v>基础设施水平</v>
      </c>
      <c r="R25" s="770" t="s">
        <v>17</v>
      </c>
      <c r="S25" s="771">
        <f>F25</f>
        <v>100</v>
      </c>
      <c r="T25" s="770" t="s">
        <v>17</v>
      </c>
      <c r="U25" s="771">
        <f>H25</f>
        <v>100</v>
      </c>
      <c r="V25" s="770" t="s">
        <v>17</v>
      </c>
      <c r="W25" s="771">
        <f>J25</f>
        <v>100</v>
      </c>
      <c r="X25" s="772"/>
      <c r="Y25" s="3199"/>
      <c r="Z25" s="55" t="str">
        <f>Q25</f>
        <v>基础设施水平</v>
      </c>
      <c r="AA25" s="1813">
        <f>D25/F25</f>
        <v>1</v>
      </c>
      <c r="AB25" s="1813">
        <f>D25/H25</f>
        <v>1</v>
      </c>
      <c r="AC25" s="1813">
        <f>D25/J25</f>
        <v>1</v>
      </c>
    </row>
    <row r="26" spans="1:29" s="117" customFormat="1" ht="15">
      <c r="A26" s="649"/>
      <c r="B26" s="632"/>
      <c r="C26" s="2704"/>
      <c r="D26" s="448"/>
      <c r="E26" s="2705"/>
      <c r="F26" s="448"/>
      <c r="G26" s="2705"/>
      <c r="H26" s="448"/>
      <c r="I26" s="2705"/>
      <c r="J26" s="448"/>
      <c r="K26" s="672"/>
      <c r="L26" s="1135"/>
      <c r="M26" s="1136"/>
      <c r="N26" s="1136"/>
      <c r="O26" s="1137"/>
      <c r="P26" s="3199"/>
      <c r="Q26" s="1797"/>
      <c r="R26" s="770"/>
      <c r="S26" s="771"/>
      <c r="T26" s="770"/>
      <c r="U26" s="771"/>
      <c r="V26" s="770"/>
      <c r="W26" s="771"/>
      <c r="X26" s="772"/>
      <c r="Y26" s="319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9"/>
      <c r="Z27" s="1816" t="str">
        <f t="shared" ref="Z27:Z40" si="13">Q27</f>
        <v>临街状况</v>
      </c>
      <c r="AA27" s="1813">
        <f t="shared" si="3"/>
        <v>1</v>
      </c>
      <c r="AB27" s="1813">
        <f t="shared" si="4"/>
        <v>1</v>
      </c>
      <c r="AC27" s="1813">
        <f t="shared" si="5"/>
        <v>1</v>
      </c>
    </row>
    <row r="28" spans="1:29" ht="28.8">
      <c r="A28" s="428"/>
      <c r="B28" s="633" t="s">
        <v>2692</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9"/>
      <c r="Q28" s="1812" t="str">
        <f t="shared" si="8"/>
        <v>毗邻道路的类型与等级</v>
      </c>
      <c r="R28" s="774" t="s">
        <v>17</v>
      </c>
      <c r="S28" s="775">
        <f t="shared" si="10"/>
        <v>100</v>
      </c>
      <c r="T28" s="774" t="s">
        <v>17</v>
      </c>
      <c r="U28" s="775">
        <f t="shared" si="11"/>
        <v>100</v>
      </c>
      <c r="V28" s="774" t="s">
        <v>17</v>
      </c>
      <c r="W28" s="775">
        <f t="shared" si="12"/>
        <v>100</v>
      </c>
      <c r="X28" s="1815"/>
      <c r="Y28" s="3199"/>
      <c r="Z28" s="1816" t="str">
        <f t="shared" si="13"/>
        <v>毗邻道路的类型与等级</v>
      </c>
      <c r="AA28" s="1813">
        <f t="shared" si="3"/>
        <v>1</v>
      </c>
      <c r="AB28" s="1813">
        <f t="shared" si="4"/>
        <v>1</v>
      </c>
      <c r="AC28" s="1813">
        <f t="shared" si="5"/>
        <v>1</v>
      </c>
    </row>
    <row r="29" spans="1:29" ht="15">
      <c r="A29" s="428"/>
      <c r="B29" s="632"/>
      <c r="C29" s="447"/>
      <c r="D29" s="448"/>
      <c r="E29" s="2615"/>
      <c r="F29" s="448"/>
      <c r="G29" s="2615"/>
      <c r="H29" s="448"/>
      <c r="I29" s="2615"/>
      <c r="J29" s="448"/>
      <c r="K29" s="613"/>
      <c r="L29" s="1143"/>
      <c r="M29" s="1134"/>
      <c r="N29" s="1134"/>
      <c r="O29" s="1142"/>
      <c r="P29" s="3199"/>
      <c r="Q29" s="1812"/>
      <c r="R29" s="774"/>
      <c r="S29" s="775"/>
      <c r="T29" s="774"/>
      <c r="U29" s="775"/>
      <c r="V29" s="774"/>
      <c r="W29" s="775"/>
      <c r="X29" s="1815"/>
      <c r="Y29" s="3199"/>
      <c r="Z29" s="1816"/>
      <c r="AA29" s="1813">
        <v>1</v>
      </c>
      <c r="AB29" s="1813">
        <v>1</v>
      </c>
      <c r="AC29" s="1813">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9"/>
      <c r="Q30" s="1812" t="str">
        <f t="shared" si="8"/>
        <v>土地级别</v>
      </c>
      <c r="R30" s="774" t="s">
        <v>17</v>
      </c>
      <c r="S30" s="775">
        <f t="shared" si="10"/>
        <v>100</v>
      </c>
      <c r="T30" s="774" t="s">
        <v>17</v>
      </c>
      <c r="U30" s="775">
        <f t="shared" si="11"/>
        <v>100</v>
      </c>
      <c r="V30" s="774" t="s">
        <v>17</v>
      </c>
      <c r="W30" s="775">
        <f t="shared" si="12"/>
        <v>100</v>
      </c>
      <c r="X30" s="1815"/>
      <c r="Y30" s="3199"/>
      <c r="Z30" s="1816" t="str">
        <f t="shared" si="13"/>
        <v>土地级别</v>
      </c>
      <c r="AA30" s="1813">
        <f t="shared" si="3"/>
        <v>1</v>
      </c>
      <c r="AB30" s="1813">
        <f t="shared" si="4"/>
        <v>1</v>
      </c>
      <c r="AC30" s="1813">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9"/>
      <c r="Q31" s="1812">
        <f t="shared" si="8"/>
        <v>111</v>
      </c>
      <c r="R31" s="774" t="s">
        <v>17</v>
      </c>
      <c r="S31" s="775">
        <f t="shared" si="10"/>
        <v>100</v>
      </c>
      <c r="T31" s="774" t="s">
        <v>17</v>
      </c>
      <c r="U31" s="775">
        <f t="shared" si="11"/>
        <v>100</v>
      </c>
      <c r="V31" s="774" t="s">
        <v>17</v>
      </c>
      <c r="W31" s="775">
        <f t="shared" si="12"/>
        <v>100</v>
      </c>
      <c r="X31" s="1815"/>
      <c r="Y31" s="3199"/>
      <c r="Z31" s="1816">
        <f t="shared" si="13"/>
        <v>111</v>
      </c>
      <c r="AA31" s="1813">
        <f t="shared" si="3"/>
        <v>1</v>
      </c>
      <c r="AB31" s="1813">
        <f t="shared" si="4"/>
        <v>1</v>
      </c>
      <c r="AC31" s="1813">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2" t="s">
        <v>2566</v>
      </c>
      <c r="Q32" s="1812">
        <f t="shared" si="8"/>
        <v>111</v>
      </c>
      <c r="R32" s="774" t="s">
        <v>17</v>
      </c>
      <c r="S32" s="775">
        <f t="shared" si="10"/>
        <v>100</v>
      </c>
      <c r="T32" s="774" t="s">
        <v>17</v>
      </c>
      <c r="U32" s="775">
        <f t="shared" si="11"/>
        <v>100</v>
      </c>
      <c r="V32" s="774" t="s">
        <v>17</v>
      </c>
      <c r="W32" s="775">
        <f t="shared" si="12"/>
        <v>100</v>
      </c>
      <c r="X32" s="1815"/>
      <c r="Y32" s="3203" t="s">
        <v>2566</v>
      </c>
      <c r="Z32" s="1816">
        <f t="shared" si="13"/>
        <v>111</v>
      </c>
      <c r="AA32" s="1813">
        <f t="shared" si="3"/>
        <v>1</v>
      </c>
      <c r="AB32" s="1813">
        <f t="shared" si="4"/>
        <v>1</v>
      </c>
      <c r="AC32" s="1813">
        <f t="shared" si="5"/>
        <v>1</v>
      </c>
    </row>
    <row r="33" spans="1:29" s="471" customFormat="1" ht="15.6"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3"/>
      <c r="Q33" s="1812">
        <f t="shared" si="8"/>
        <v>111</v>
      </c>
      <c r="R33" s="777" t="s">
        <v>17</v>
      </c>
      <c r="S33" s="778">
        <f t="shared" si="10"/>
        <v>100</v>
      </c>
      <c r="T33" s="777" t="s">
        <v>17</v>
      </c>
      <c r="U33" s="778">
        <f t="shared" si="11"/>
        <v>100</v>
      </c>
      <c r="V33" s="777" t="s">
        <v>17</v>
      </c>
      <c r="W33" s="778">
        <f t="shared" si="12"/>
        <v>100</v>
      </c>
      <c r="X33" s="779"/>
      <c r="Y33" s="3203"/>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3"/>
      <c r="Q34" s="1812" t="str">
        <f>B34</f>
        <v>宗地面积</v>
      </c>
      <c r="R34" s="774" t="s">
        <v>17</v>
      </c>
      <c r="S34" s="775" t="e">
        <f t="shared" si="10"/>
        <v>#N/A</v>
      </c>
      <c r="T34" s="774" t="s">
        <v>17</v>
      </c>
      <c r="U34" s="775" t="e">
        <f t="shared" si="11"/>
        <v>#N/A</v>
      </c>
      <c r="V34" s="774" t="s">
        <v>17</v>
      </c>
      <c r="W34" s="775" t="e">
        <f t="shared" si="12"/>
        <v>#N/A</v>
      </c>
      <c r="X34" s="1815"/>
      <c r="Y34" s="3203"/>
      <c r="Z34" s="1816" t="str">
        <f t="shared" si="13"/>
        <v>宗地面积</v>
      </c>
      <c r="AA34" s="1813" t="e">
        <f t="shared" si="3"/>
        <v>#N/A</v>
      </c>
      <c r="AB34" s="1813" t="e">
        <f t="shared" si="4"/>
        <v>#N/A</v>
      </c>
      <c r="AC34" s="1813" t="e">
        <f t="shared" si="5"/>
        <v>#N/A</v>
      </c>
    </row>
    <row r="35" spans="1:29" ht="15">
      <c r="A35" s="472"/>
      <c r="B35" s="422" t="s">
        <v>2753</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03"/>
      <c r="Q35" s="1812" t="str">
        <f t="shared" ref="Q35:Q40" si="14">B35</f>
        <v>宗地形状</v>
      </c>
      <c r="R35" s="774" t="s">
        <v>17</v>
      </c>
      <c r="S35" s="775">
        <f t="shared" si="10"/>
        <v>100</v>
      </c>
      <c r="T35" s="774" t="s">
        <v>17</v>
      </c>
      <c r="U35" s="775">
        <f t="shared" si="11"/>
        <v>100</v>
      </c>
      <c r="V35" s="774" t="s">
        <v>17</v>
      </c>
      <c r="W35" s="775">
        <f t="shared" si="12"/>
        <v>100</v>
      </c>
      <c r="X35" s="1815"/>
      <c r="Y35" s="3203"/>
      <c r="Z35" s="1816" t="str">
        <f t="shared" si="13"/>
        <v>宗地形状</v>
      </c>
      <c r="AA35" s="1813">
        <f t="shared" si="3"/>
        <v>1</v>
      </c>
      <c r="AB35" s="1813">
        <f t="shared" si="4"/>
        <v>1</v>
      </c>
      <c r="AC35" s="1813">
        <f t="shared" si="5"/>
        <v>1</v>
      </c>
    </row>
    <row r="36" spans="1:29" s="117" customFormat="1" ht="15">
      <c r="A36" s="473"/>
      <c r="B36" s="422" t="s">
        <v>2755</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03"/>
      <c r="Q36" s="1812" t="str">
        <f t="shared" si="14"/>
        <v>宗地开发程度</v>
      </c>
      <c r="R36" s="770" t="s">
        <v>17</v>
      </c>
      <c r="S36" s="771">
        <f t="shared" si="10"/>
        <v>100</v>
      </c>
      <c r="T36" s="770" t="s">
        <v>17</v>
      </c>
      <c r="U36" s="771">
        <f t="shared" si="11"/>
        <v>100</v>
      </c>
      <c r="V36" s="770" t="s">
        <v>17</v>
      </c>
      <c r="W36" s="771">
        <f t="shared" si="12"/>
        <v>100</v>
      </c>
      <c r="X36" s="772"/>
      <c r="Y36" s="3203"/>
      <c r="Z36" s="55" t="str">
        <f t="shared" si="13"/>
        <v>宗地开发程度</v>
      </c>
      <c r="AA36" s="773">
        <f t="shared" si="3"/>
        <v>1</v>
      </c>
      <c r="AB36" s="773">
        <f t="shared" si="4"/>
        <v>1</v>
      </c>
      <c r="AC36" s="773">
        <f t="shared" si="5"/>
        <v>1</v>
      </c>
    </row>
    <row r="37" spans="1:29" ht="15">
      <c r="A37" s="472"/>
      <c r="B37" s="422" t="s">
        <v>2756</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03" t="s">
        <v>2566</v>
      </c>
      <c r="Q37" s="1812" t="str">
        <f t="shared" si="14"/>
        <v>工程地质条件</v>
      </c>
      <c r="R37" s="774" t="s">
        <v>17</v>
      </c>
      <c r="S37" s="775">
        <f t="shared" si="10"/>
        <v>100</v>
      </c>
      <c r="T37" s="774" t="s">
        <v>17</v>
      </c>
      <c r="U37" s="775">
        <f t="shared" si="11"/>
        <v>100</v>
      </c>
      <c r="V37" s="774" t="s">
        <v>17</v>
      </c>
      <c r="W37" s="775">
        <f t="shared" si="12"/>
        <v>100</v>
      </c>
      <c r="X37" s="1815"/>
      <c r="Y37" s="3203" t="s">
        <v>2566</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3"/>
      <c r="Q38" s="1812">
        <f t="shared" si="14"/>
        <v>111</v>
      </c>
      <c r="R38" s="774" t="s">
        <v>17</v>
      </c>
      <c r="S38" s="775">
        <f t="shared" si="10"/>
        <v>100</v>
      </c>
      <c r="T38" s="774" t="s">
        <v>17</v>
      </c>
      <c r="U38" s="775">
        <f t="shared" si="11"/>
        <v>100</v>
      </c>
      <c r="V38" s="774" t="s">
        <v>17</v>
      </c>
      <c r="W38" s="775">
        <f t="shared" si="12"/>
        <v>100</v>
      </c>
      <c r="X38" s="1815"/>
      <c r="Y38" s="3203"/>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3"/>
      <c r="Q39" s="1812">
        <f t="shared" si="14"/>
        <v>111</v>
      </c>
      <c r="R39" s="774" t="s">
        <v>17</v>
      </c>
      <c r="S39" s="775">
        <f t="shared" si="10"/>
        <v>100</v>
      </c>
      <c r="T39" s="774" t="s">
        <v>17</v>
      </c>
      <c r="U39" s="775">
        <f t="shared" si="11"/>
        <v>100</v>
      </c>
      <c r="V39" s="774" t="s">
        <v>17</v>
      </c>
      <c r="W39" s="775">
        <f t="shared" si="12"/>
        <v>100</v>
      </c>
      <c r="X39" s="1815"/>
      <c r="Y39" s="3203"/>
      <c r="Z39" s="1816">
        <f t="shared" si="13"/>
        <v>111</v>
      </c>
      <c r="AA39" s="1813">
        <f t="shared" si="3"/>
        <v>1</v>
      </c>
      <c r="AB39" s="1813">
        <f t="shared" si="4"/>
        <v>1</v>
      </c>
      <c r="AC39" s="1813">
        <f t="shared" si="5"/>
        <v>1</v>
      </c>
    </row>
    <row r="40" spans="1:29" s="471" customFormat="1" ht="15.6"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3"/>
      <c r="Q40" s="1812">
        <f t="shared" si="14"/>
        <v>111</v>
      </c>
      <c r="R40" s="777" t="s">
        <v>17</v>
      </c>
      <c r="S40" s="778">
        <f t="shared" si="10"/>
        <v>100</v>
      </c>
      <c r="T40" s="777" t="s">
        <v>17</v>
      </c>
      <c r="U40" s="778">
        <f t="shared" si="11"/>
        <v>100</v>
      </c>
      <c r="V40" s="777" t="s">
        <v>17</v>
      </c>
      <c r="W40" s="778">
        <f t="shared" si="12"/>
        <v>100</v>
      </c>
      <c r="X40" s="779"/>
      <c r="Y40" s="3203"/>
      <c r="Z40" s="780">
        <f t="shared" si="13"/>
        <v>111</v>
      </c>
      <c r="AA40" s="1813">
        <f t="shared" si="3"/>
        <v>1</v>
      </c>
      <c r="AB40" s="1813">
        <f t="shared" si="4"/>
        <v>1</v>
      </c>
      <c r="AC40" s="1813">
        <f t="shared" si="5"/>
        <v>1</v>
      </c>
    </row>
    <row r="41" spans="1:29" ht="14.4">
      <c r="A41" s="479" t="s">
        <v>2721</v>
      </c>
      <c r="B41" s="2708" t="s">
        <v>2801</v>
      </c>
      <c r="C41" s="682" t="s">
        <v>1</v>
      </c>
      <c r="D41" s="481"/>
      <c r="E41" s="482"/>
      <c r="F41" s="483"/>
      <c r="G41" s="484"/>
      <c r="H41" s="485"/>
      <c r="I41" s="482"/>
      <c r="J41" s="485"/>
      <c r="K41" s="783"/>
      <c r="L41" s="1146"/>
      <c r="M41" s="1134"/>
      <c r="N41" s="1134"/>
      <c r="O41" s="1147"/>
      <c r="P41" s="3196" t="str">
        <f>A41</f>
        <v>成交单价</v>
      </c>
      <c r="Q41" s="3196"/>
      <c r="R41" s="3191">
        <f>E41</f>
        <v>0</v>
      </c>
      <c r="S41" s="3191"/>
      <c r="T41" s="3191">
        <f>G41</f>
        <v>0</v>
      </c>
      <c r="U41" s="3191"/>
      <c r="V41" s="3191">
        <f>I41</f>
        <v>0</v>
      </c>
      <c r="W41" s="3191"/>
      <c r="X41" s="759"/>
      <c r="Y41" s="781"/>
      <c r="Z41" s="759"/>
      <c r="AA41" s="759"/>
      <c r="AB41" s="759"/>
      <c r="AC41" s="759"/>
    </row>
    <row r="42" spans="1:29" ht="1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96" t="str">
        <f>A42</f>
        <v>比较价值（元/平方米）</v>
      </c>
      <c r="Q42" s="3196"/>
      <c r="R42" s="3223" t="e">
        <f>ROUND(PRODUCT(R41,AA7:AA40),0)</f>
        <v>#DIV/0!</v>
      </c>
      <c r="S42" s="3223"/>
      <c r="T42" s="3223" t="e">
        <f>ROUND(PRODUCT(T41,AB7:AB40),0)</f>
        <v>#DIV/0!</v>
      </c>
      <c r="U42" s="3223"/>
      <c r="V42" s="3223" t="e">
        <f>ROUND(PRODUCT(V41,AC7:AC40),0)</f>
        <v>#DIV/0!</v>
      </c>
      <c r="W42" s="3223"/>
      <c r="X42" s="759"/>
      <c r="Y42" s="759"/>
      <c r="Z42" s="759"/>
      <c r="AA42" s="759"/>
      <c r="AB42" s="759"/>
      <c r="AC42" s="759"/>
    </row>
    <row r="43" spans="1:29" ht="15" thickBot="1">
      <c r="A43" s="492" t="s">
        <v>2671</v>
      </c>
      <c r="B43" s="493"/>
      <c r="C43" s="494" t="e">
        <f>R43</f>
        <v>#DIV/0!</v>
      </c>
      <c r="D43" s="494"/>
      <c r="E43" s="494"/>
      <c r="F43" s="494"/>
      <c r="G43" s="494"/>
      <c r="H43" s="494"/>
      <c r="I43" s="494"/>
      <c r="J43" s="494"/>
      <c r="K43" s="785"/>
      <c r="L43" s="1146"/>
      <c r="M43" s="1134"/>
      <c r="N43" s="1134"/>
      <c r="O43" s="1147"/>
      <c r="P43" s="3193" t="str">
        <f>A43</f>
        <v>估价对象XX用房的比较价值（楼面单价，元/平方米）</v>
      </c>
      <c r="Q43" s="3194"/>
      <c r="R43" s="3224" t="e">
        <f>ROUND(AVERAGE(R42:V42),0)</f>
        <v>#DIV/0!</v>
      </c>
      <c r="S43" s="3224"/>
      <c r="T43" s="3224"/>
      <c r="U43" s="3224"/>
      <c r="V43" s="3224"/>
      <c r="W43" s="322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2759</v>
      </c>
      <c r="B50" s="685" t="s">
        <v>2760</v>
      </c>
      <c r="C50" s="2709" t="s">
        <v>2761</v>
      </c>
      <c r="D50" s="2710" t="s">
        <v>2762</v>
      </c>
      <c r="E50" s="686" t="s">
        <v>2763</v>
      </c>
      <c r="F50" s="687" t="s">
        <v>2764</v>
      </c>
      <c r="G50" s="3179" t="s">
        <v>2765</v>
      </c>
      <c r="H50" s="3225"/>
      <c r="I50" s="1816" t="s">
        <v>2802</v>
      </c>
      <c r="J50" s="1816">
        <f>项目基本情况!F35</f>
        <v>0</v>
      </c>
      <c r="K50" s="2712" t="s">
        <v>2767</v>
      </c>
      <c r="L50" s="1109"/>
      <c r="M50" s="1147"/>
      <c r="N50" s="1147"/>
      <c r="O50" s="1147"/>
    </row>
    <row r="51" spans="1:17" s="692" customFormat="1">
      <c r="A51" s="688" t="s">
        <v>2768</v>
      </c>
      <c r="B51" s="689" t="e">
        <f>C43</f>
        <v>#DIV/0!</v>
      </c>
      <c r="C51" s="690">
        <v>1</v>
      </c>
      <c r="D51" s="1166">
        <v>1</v>
      </c>
      <c r="E51" s="690">
        <f>'数据-汇总表'!E8+'数据-汇总表'!E9</f>
        <v>4531.2000000000007</v>
      </c>
      <c r="F51" s="691" t="e">
        <f t="shared" ref="F51:F60" si="15">ROUND(B51*E51/10000,0)</f>
        <v>#DIV/0!</v>
      </c>
      <c r="G51" s="3178"/>
      <c r="H51" s="3196"/>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26"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26"/>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26"/>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26"/>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0.25</v>
      </c>
      <c r="D56" s="1167">
        <v>0.25</v>
      </c>
      <c r="E56" s="261">
        <f>'数据-汇总表'!E11</f>
        <v>3196.2</v>
      </c>
      <c r="F56" s="691" t="e">
        <f t="shared" si="15"/>
        <v>#DIV/0!</v>
      </c>
      <c r="G56" s="2713" t="s">
        <v>2775</v>
      </c>
      <c r="H56" s="1107" t="str">
        <f>项目基本情况!C37</f>
        <v>四级</v>
      </c>
      <c r="I56" s="945">
        <f>SUMIF(修正!A45:A56,H56,修正!F45:F56)</f>
        <v>0.25</v>
      </c>
      <c r="J56" s="946"/>
      <c r="K56" s="1147"/>
      <c r="L56" s="944"/>
      <c r="M56" s="944"/>
      <c r="N56" s="944"/>
      <c r="O56" s="944"/>
    </row>
    <row r="57" spans="1:17" s="692" customFormat="1">
      <c r="A57" s="693" t="s">
        <v>2776</v>
      </c>
      <c r="B57" s="262" t="e">
        <f t="shared" si="17"/>
        <v>#DIV/0!</v>
      </c>
      <c r="C57" s="200">
        <f t="shared" si="16"/>
        <v>0.25</v>
      </c>
      <c r="D57" s="1167">
        <v>0.25</v>
      </c>
      <c r="E57" s="261">
        <f>'数据-汇总表'!E12</f>
        <v>0</v>
      </c>
      <c r="F57" s="691" t="e">
        <f t="shared" si="15"/>
        <v>#DIV/0!</v>
      </c>
      <c r="G57" s="1112" t="s">
        <v>2777</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3" t="s">
        <v>2770</v>
      </c>
      <c r="H59" s="1107">
        <f>项目基本情况!B37</f>
        <v>0</v>
      </c>
      <c r="I59" s="945">
        <f>SUMIF(修正!A45:A56,H59,修正!H45:H56)</f>
        <v>0</v>
      </c>
      <c r="J59" s="946"/>
      <c r="K59" s="1148"/>
      <c r="L59" s="944"/>
      <c r="M59" s="944"/>
      <c r="N59" s="944"/>
      <c r="O59" s="944"/>
    </row>
    <row r="60" spans="1:17" s="692" customFormat="1" ht="14.4" thickBot="1">
      <c r="A60" s="693" t="s">
        <v>2781</v>
      </c>
      <c r="B60" s="262" t="e">
        <f t="shared" si="17"/>
        <v>#DIV/0!</v>
      </c>
      <c r="C60" s="200">
        <f t="shared" si="16"/>
        <v>0.2</v>
      </c>
      <c r="D60" s="1167">
        <v>0.25</v>
      </c>
      <c r="E60" s="261">
        <f>'数据-汇总表'!E15</f>
        <v>0</v>
      </c>
      <c r="F60" s="691" t="e">
        <f t="shared" si="15"/>
        <v>#DIV/0!</v>
      </c>
      <c r="G60" s="2714" t="s">
        <v>2775</v>
      </c>
      <c r="H60" s="1117" t="str">
        <f>项目基本情况!C37</f>
        <v>四级</v>
      </c>
      <c r="I60" s="945">
        <f>SUMIF(修正!A45:A56,H60,修正!H45:H56)</f>
        <v>0.2</v>
      </c>
      <c r="J60" s="946"/>
      <c r="K60" s="1147"/>
      <c r="L60" s="944"/>
      <c r="M60" s="944"/>
      <c r="N60" s="944"/>
      <c r="O60" s="944"/>
    </row>
    <row r="61" spans="1:17" s="692" customFormat="1" ht="14.4" thickBot="1">
      <c r="A61" s="695" t="s">
        <v>2782</v>
      </c>
      <c r="B61" s="696" t="s">
        <v>28</v>
      </c>
      <c r="C61" s="696" t="s">
        <v>29</v>
      </c>
      <c r="D61" s="696" t="s">
        <v>1029</v>
      </c>
      <c r="E61" s="696">
        <f>IF(B41="楼面地价",SUM(E51:E60),'数据-汇总表'!D3)</f>
        <v>1742.42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2.2" thickBot="1">
      <c r="A64" s="763" t="s">
        <v>2675</v>
      </c>
      <c r="B64" s="759"/>
      <c r="C64" s="764"/>
      <c r="D64" s="764"/>
      <c r="E64" s="764"/>
      <c r="F64" s="765"/>
      <c r="G64" s="765"/>
      <c r="H64" s="764"/>
      <c r="I64" s="764"/>
      <c r="J64" s="764"/>
      <c r="K64" s="766"/>
      <c r="L64" s="767"/>
      <c r="M64" s="764"/>
      <c r="N64" s="764"/>
      <c r="O64" s="1162"/>
      <c r="P64" s="503"/>
      <c r="Q64" s="504"/>
    </row>
    <row r="65" spans="1:17" s="508" customFormat="1" ht="14.4">
      <c r="A65" s="2715" t="s">
        <v>2783</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20" t="s">
        <v>2803</v>
      </c>
      <c r="B66" s="332" t="str">
        <f>"北京市平均增长率"&amp;TEXT(基准地价修正!P24,"0.00%")</f>
        <v>北京市平均增长率1.35%</v>
      </c>
      <c r="C66" s="603">
        <v>100</v>
      </c>
      <c r="D66" s="595"/>
      <c r="E66" s="595"/>
      <c r="F66" s="595"/>
      <c r="G66" s="595"/>
      <c r="H66" s="595"/>
      <c r="I66" s="595"/>
      <c r="J66" s="595"/>
      <c r="K66" s="595"/>
      <c r="L66" s="595"/>
      <c r="M66" s="1569"/>
      <c r="N66" s="1569"/>
      <c r="O66" s="1571"/>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2589</v>
      </c>
      <c r="B70" s="528" t="s">
        <v>2555</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2558</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2692</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2751</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8" sqref="D38"/>
    </sheetView>
  </sheetViews>
  <sheetFormatPr defaultColWidth="12" defaultRowHeight="13.2"/>
  <cols>
    <col min="1" max="1" width="9.77734375" style="2800" customWidth="1"/>
    <col min="2" max="2" width="19.21875" style="2906" customWidth="1"/>
    <col min="3" max="4" width="12" style="2724"/>
    <col min="5" max="5" width="14.6640625" style="2724" customWidth="1"/>
    <col min="6" max="8" width="12" style="2724"/>
    <col min="9" max="9" width="12.21875" style="2724" bestFit="1" customWidth="1"/>
    <col min="10" max="10" width="12" style="2724"/>
    <col min="11" max="11" width="8.109375" style="2792" customWidth="1"/>
    <col min="12" max="12" width="12" style="2724"/>
    <col min="13" max="13" width="8.44140625" style="2724" customWidth="1"/>
    <col min="14" max="14" width="9.77734375" style="2724" customWidth="1"/>
    <col min="15" max="25" width="12" style="2724"/>
    <col min="26" max="26" width="9.33203125" style="2800" customWidth="1"/>
    <col min="27" max="32" width="9.33203125" style="1375" customWidth="1"/>
    <col min="33" max="36" width="9.33203125" style="2800" customWidth="1"/>
    <col min="37" max="38" width="9.33203125" style="2724" customWidth="1"/>
    <col min="39" max="16384" width="12" style="2724"/>
  </cols>
  <sheetData>
    <row r="1" spans="1:36" ht="31.2">
      <c r="A1" s="240" t="s">
        <v>2805</v>
      </c>
      <c r="B1" s="241"/>
      <c r="C1" s="245" t="s">
        <v>2806</v>
      </c>
      <c r="D1" s="388">
        <f>SUM(D29:D30,D33:D39)</f>
        <v>7727.4000000000005</v>
      </c>
      <c r="E1" s="2721"/>
      <c r="F1" s="2721"/>
      <c r="G1" s="2721"/>
      <c r="H1" s="2721"/>
      <c r="I1" s="2721"/>
      <c r="J1" s="2721"/>
      <c r="K1" s="1373"/>
      <c r="L1" s="2722" t="s">
        <v>2807</v>
      </c>
      <c r="M1" s="1083">
        <f>SUMPRODUCT((区片价!B5:B9=I2)*(区片价!C3:F3=E2)*(区片价!C5:F9))</f>
        <v>0</v>
      </c>
      <c r="N1" s="1086">
        <f>SUMPRODUCT((因素修正幅度!B5:B9=I2)*(因素修正幅度!C3:F3=E2)*(因素修正幅度!C5:F9))</f>
        <v>0</v>
      </c>
      <c r="O1" s="2723"/>
      <c r="P1" s="2723"/>
      <c r="Q1" s="1373"/>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6">
      <c r="A2" s="245" t="s">
        <v>2813</v>
      </c>
      <c r="B2" s="248">
        <f ca="1">C26</f>
        <v>8941</v>
      </c>
      <c r="C2" s="2725" t="s">
        <v>2814</v>
      </c>
      <c r="D2" s="2726" t="s">
        <v>2815</v>
      </c>
      <c r="E2" s="2727" t="s">
        <v>27</v>
      </c>
      <c r="F2" s="2726" t="s">
        <v>2816</v>
      </c>
      <c r="G2" s="2728" t="str">
        <f>IF(E2="商业",项目基本情况!B37,IF(E2="办公",项目基本情况!C37,IF(E2="住宅",项目基本情况!D37,项目基本情况!E37)))</f>
        <v>四级</v>
      </c>
      <c r="H2" s="2726" t="s">
        <v>2817</v>
      </c>
      <c r="I2" s="2728" t="str">
        <f>IF(E2="商业",项目基本情况!B38,IF(E2="办公",项目基本情况!C38,IF(E2="住宅",项目基本情况!D38,项目基本情况!E38)))</f>
        <v>Ⅳ-09</v>
      </c>
      <c r="J2" s="2729"/>
      <c r="K2" s="1373"/>
      <c r="L2" s="2730" t="s">
        <v>2818</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31587</v>
      </c>
      <c r="U2" s="1605"/>
      <c r="V2" s="1604">
        <f ca="1">ROUND(T2*U2/10000,0)</f>
        <v>0</v>
      </c>
      <c r="W2" s="1608"/>
      <c r="X2" s="1608"/>
      <c r="Y2" s="1608"/>
      <c r="Z2" s="1608"/>
      <c r="AA2" s="1608"/>
      <c r="AB2" s="1608"/>
      <c r="AC2" s="1609"/>
      <c r="AD2" s="1610"/>
      <c r="AE2" s="1610"/>
      <c r="AF2" s="1610"/>
      <c r="AG2" s="1610"/>
      <c r="AH2" s="1610"/>
      <c r="AI2" s="1610"/>
      <c r="AJ2" s="1611"/>
    </row>
    <row r="3" spans="1:36" ht="26.4">
      <c r="A3" s="247" t="s">
        <v>2819</v>
      </c>
      <c r="B3" s="248">
        <f ca="1">ROUND(B2*10000/D1,0)</f>
        <v>11571</v>
      </c>
      <c r="C3" s="2725" t="s">
        <v>2820</v>
      </c>
      <c r="D3" s="2726" t="s">
        <v>2821</v>
      </c>
      <c r="E3" s="2731" t="s">
        <v>3072</v>
      </c>
      <c r="F3" s="2732" t="s">
        <v>3073</v>
      </c>
      <c r="G3" s="916">
        <f>IF(F3="宗地容积率",'数据-汇总表'!I4,IF(F3="估价对象容积率",'数据-汇总表'!I6,'数据-汇总表'!I7))</f>
        <v>2.6</v>
      </c>
      <c r="H3" s="198" t="s">
        <v>2822</v>
      </c>
      <c r="I3" s="947"/>
      <c r="J3" s="2729" t="s">
        <v>2823</v>
      </c>
      <c r="K3" s="1373"/>
      <c r="L3" s="2730" t="s">
        <v>2824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22674</v>
      </c>
      <c r="U3" s="1605"/>
      <c r="V3" s="1604">
        <f t="shared" ref="V3:V16" ca="1" si="1">ROUND(T3*U3/10000,0)</f>
        <v>0</v>
      </c>
      <c r="W3" s="1608"/>
      <c r="X3" s="1608"/>
      <c r="Y3" s="1608"/>
      <c r="Z3" s="1608"/>
      <c r="AA3" s="1608"/>
      <c r="AB3" s="1608"/>
      <c r="AC3" s="1609"/>
      <c r="AD3" s="1610"/>
      <c r="AE3" s="1610"/>
      <c r="AF3" s="1610"/>
      <c r="AG3" s="1610"/>
      <c r="AH3" s="1610"/>
      <c r="AI3" s="1610"/>
      <c r="AJ3" s="1611"/>
    </row>
    <row r="4" spans="1:36" ht="15.6">
      <c r="A4" s="3245"/>
      <c r="B4" s="3246"/>
      <c r="C4" s="3246"/>
      <c r="D4" s="3247"/>
      <c r="E4" s="3247"/>
      <c r="F4" s="3247"/>
      <c r="G4" s="3247"/>
      <c r="H4" s="3247"/>
      <c r="I4" s="3247"/>
      <c r="J4" s="3248"/>
      <c r="K4" s="1373"/>
      <c r="L4" s="2730" t="s">
        <v>2825</v>
      </c>
      <c r="M4" s="1084">
        <f>SUMPRODUCT((区片价!B49:B75=I2)*(区片价!C3:F3=E2)*(区片价!C49:F75))</f>
        <v>16190</v>
      </c>
      <c r="N4" s="1086">
        <f>SUMPRODUCT((因素修正幅度!B49:B75=I2)*(因素修正幅度!C3:F3=E2)*(因素修正幅度!C49:F75))</f>
        <v>9.6000000000000002E-2</v>
      </c>
      <c r="O4" s="1373"/>
      <c r="P4" s="1373"/>
      <c r="Q4" s="1373"/>
      <c r="R4" s="1604">
        <v>3</v>
      </c>
      <c r="S4" s="1604">
        <f>ROUND(IF(G3&gt;1,IF(R4&lt;7,SUMPRODUCT((B93:B98=R4)*(C92:N92=G2)*(C93:N98)),SUMIF(C92:N92,G2,C100:N100)),IF(R4&lt;7,SUMPRODUCT((B102:B107=R4)*(C92:N92=G2)*(C102:N107)),SUMIF(C92:N92,G2,C109:N109))),4)</f>
        <v>1.0788</v>
      </c>
      <c r="T4" s="1604">
        <f t="shared" ca="1" si="0"/>
        <v>18292</v>
      </c>
      <c r="U4" s="1605"/>
      <c r="V4" s="1604">
        <f t="shared" ca="1" si="1"/>
        <v>0</v>
      </c>
      <c r="W4" s="1608"/>
      <c r="X4" s="1608"/>
      <c r="Y4" s="1608"/>
      <c r="Z4" s="1608"/>
      <c r="AA4" s="1608"/>
      <c r="AB4" s="1608"/>
      <c r="AC4" s="1609"/>
      <c r="AD4" s="1610"/>
      <c r="AE4" s="1610"/>
      <c r="AF4" s="1610"/>
      <c r="AG4" s="1610"/>
      <c r="AH4" s="1610"/>
      <c r="AI4" s="1610"/>
      <c r="AJ4" s="1611"/>
    </row>
    <row r="5" spans="1:36" s="2742" customFormat="1" ht="15.6" thickBot="1">
      <c r="A5" s="2733" t="s">
        <v>807</v>
      </c>
      <c r="B5" s="2734" t="s">
        <v>2826</v>
      </c>
      <c r="C5" s="917">
        <f>ROUND(IF(E2="商业",IF(F16="增加",C6*C7+C16,C6*C7-C16),IF(E2="住宅",IF(F16="增加",C6*C12+C16,C6*C12-C16),IF(F16="增加",C6+C16,C6-C16))),0)</f>
        <v>16170</v>
      </c>
      <c r="D5" s="1789">
        <f>ROUND(IF(E2="商业",IF(F16="增加",C6+C16,C6-C16)),0)</f>
        <v>0</v>
      </c>
      <c r="E5" s="2735"/>
      <c r="F5" s="2735"/>
      <c r="G5" s="2736"/>
      <c r="H5" s="2736"/>
      <c r="I5" s="2736"/>
      <c r="J5" s="2737"/>
      <c r="K5" s="2738"/>
      <c r="L5" s="2730" t="s">
        <v>2827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0.86560000000000004</v>
      </c>
      <c r="T5" s="1604">
        <f t="shared" ca="1" si="0"/>
        <v>14677</v>
      </c>
      <c r="U5" s="1605"/>
      <c r="V5" s="1604">
        <f t="shared" ca="1" si="1"/>
        <v>0</v>
      </c>
      <c r="W5" s="1608"/>
      <c r="X5" s="1608"/>
      <c r="Y5" s="1608"/>
      <c r="Z5" s="1608"/>
      <c r="AA5" s="1608"/>
      <c r="AB5" s="1608"/>
      <c r="AC5" s="2739"/>
      <c r="AD5" s="2740"/>
      <c r="AE5" s="2740"/>
      <c r="AF5" s="2740"/>
      <c r="AG5" s="2740"/>
      <c r="AH5" s="2740"/>
      <c r="AI5" s="2740"/>
      <c r="AJ5" s="2741"/>
    </row>
    <row r="6" spans="1:36" ht="15.6" thickBot="1">
      <c r="A6" s="2743" t="s">
        <v>2828</v>
      </c>
      <c r="B6" s="2744" t="s">
        <v>2829</v>
      </c>
      <c r="C6" s="918">
        <f>SUMIF(L1:L12,G2,M1:M12)</f>
        <v>16190</v>
      </c>
      <c r="D6" s="2745" t="s">
        <v>2830</v>
      </c>
      <c r="E6" s="2746"/>
      <c r="F6" s="2746"/>
      <c r="G6" s="2747"/>
      <c r="H6" s="2747"/>
      <c r="I6" s="2747"/>
      <c r="J6" s="2748"/>
      <c r="K6" s="1844"/>
      <c r="L6" s="2730" t="s">
        <v>2831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0.73709999999999998</v>
      </c>
      <c r="T6" s="1604">
        <f t="shared" ca="1" si="0"/>
        <v>12498</v>
      </c>
      <c r="U6" s="1605"/>
      <c r="V6" s="1604">
        <f t="shared" ca="1" si="1"/>
        <v>0</v>
      </c>
      <c r="W6" s="1608"/>
      <c r="X6" s="1608"/>
      <c r="Y6" s="1608"/>
      <c r="Z6" s="1608"/>
      <c r="AA6" s="1608"/>
      <c r="AB6" s="1608"/>
      <c r="AC6" s="2739"/>
      <c r="AD6" s="2740"/>
      <c r="AE6" s="2740"/>
      <c r="AF6" s="2740"/>
      <c r="AG6" s="2740"/>
      <c r="AH6" s="2740"/>
      <c r="AI6" s="2740"/>
      <c r="AJ6" s="2741"/>
    </row>
    <row r="7" spans="1:36" ht="24">
      <c r="A7" s="3231" t="str">
        <f>IF(E2="商业",IF(C8="不临58条商业街","",2),"")</f>
        <v/>
      </c>
      <c r="B7" s="2749" t="s">
        <v>2832</v>
      </c>
      <c r="C7" s="919" t="e">
        <f>IF(C8="不临58条商业街",1,ROUND(1+(1.6*E8+1.2*E9+0.8*E10+0.4*E11)*C9,4))</f>
        <v>#DIV/0!</v>
      </c>
      <c r="D7" s="2750" t="s">
        <v>2833</v>
      </c>
      <c r="E7" s="948"/>
      <c r="F7" s="2751"/>
      <c r="G7" s="2752"/>
      <c r="H7" s="2752"/>
      <c r="I7" s="2752"/>
      <c r="J7" s="2753"/>
      <c r="K7" s="1844"/>
      <c r="L7" s="2730" t="s">
        <v>2834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0.6482</v>
      </c>
      <c r="T7" s="1604">
        <f t="shared" ca="1" si="0"/>
        <v>10991</v>
      </c>
      <c r="U7" s="1605"/>
      <c r="V7" s="1604">
        <f t="shared" ca="1" si="1"/>
        <v>0</v>
      </c>
      <c r="W7" s="1818" t="s">
        <v>2835</v>
      </c>
      <c r="X7" s="1606" t="str">
        <f>G2</f>
        <v>四级</v>
      </c>
      <c r="Y7" s="1606" t="s">
        <v>2836</v>
      </c>
      <c r="Z7" s="1607">
        <f>G3</f>
        <v>2.6</v>
      </c>
      <c r="AA7" s="1608"/>
      <c r="AB7" s="1608"/>
      <c r="AC7" s="1609"/>
      <c r="AD7" s="1610"/>
      <c r="AE7" s="1610"/>
      <c r="AF7" s="1610"/>
      <c r="AG7" s="1610"/>
      <c r="AH7" s="1610"/>
      <c r="AI7" s="1610"/>
      <c r="AJ7" s="1611"/>
    </row>
    <row r="8" spans="1:36" ht="15">
      <c r="A8" s="3232"/>
      <c r="B8" s="198" t="s">
        <v>2837</v>
      </c>
      <c r="C8" s="2754"/>
      <c r="D8" s="920" t="s">
        <v>139</v>
      </c>
      <c r="E8" s="921" t="e">
        <f>ROUND(C11/E7,4)</f>
        <v>#DIV/0!</v>
      </c>
      <c r="F8" s="2755" t="s">
        <v>2838</v>
      </c>
      <c r="G8" s="2756"/>
      <c r="H8" s="2756"/>
      <c r="I8" s="2756"/>
      <c r="J8" s="2757"/>
      <c r="K8" s="1373"/>
      <c r="L8" s="2730" t="s">
        <v>2839</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242" t="s">
        <v>2840</v>
      </c>
      <c r="X8" s="3243"/>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232"/>
      <c r="B9" s="198" t="s">
        <v>2853</v>
      </c>
      <c r="C9" s="922">
        <f>SUMIF(修正!C59:C119,C8,修正!E59:E119)</f>
        <v>0</v>
      </c>
      <c r="D9" s="200" t="s">
        <v>140</v>
      </c>
      <c r="E9" s="200" t="e">
        <f>ROUND(C11/E7,4)</f>
        <v>#DIV/0!</v>
      </c>
      <c r="F9" s="2755" t="s">
        <v>2854</v>
      </c>
      <c r="G9" s="2756"/>
      <c r="H9" s="2756"/>
      <c r="I9" s="2756"/>
      <c r="J9" s="2757"/>
      <c r="K9" s="1373"/>
      <c r="L9" s="2730" t="s">
        <v>2855</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244"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32"/>
      <c r="B10" s="198" t="s">
        <v>2858</v>
      </c>
      <c r="C10" s="200">
        <f>SUMIF(修正!C59:C119,C8,修正!F59:F119)</f>
        <v>0</v>
      </c>
      <c r="D10" s="200" t="s">
        <v>141</v>
      </c>
      <c r="E10" s="200" t="e">
        <f>ROUND(C11/E7,4)</f>
        <v>#DIV/0!</v>
      </c>
      <c r="F10" s="2755" t="s">
        <v>2859</v>
      </c>
      <c r="G10" s="2756"/>
      <c r="H10" s="2756"/>
      <c r="I10" s="2756"/>
      <c r="J10" s="2757"/>
      <c r="K10" s="1373"/>
      <c r="L10" s="2730" t="s">
        <v>2860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24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6" thickBot="1">
      <c r="A11" s="3232"/>
      <c r="B11" s="2758" t="s">
        <v>2861</v>
      </c>
      <c r="C11" s="923">
        <f>C10/4</f>
        <v>0</v>
      </c>
      <c r="D11" s="923" t="s">
        <v>142</v>
      </c>
      <c r="E11" s="923" t="e">
        <f>ROUND(C11/E7,4)</f>
        <v>#DIV/0!</v>
      </c>
      <c r="F11" s="2759" t="s">
        <v>2862</v>
      </c>
      <c r="G11" s="2760"/>
      <c r="H11" s="2760"/>
      <c r="I11" s="2760"/>
      <c r="J11" s="2761"/>
      <c r="K11" s="1373"/>
      <c r="L11" s="2730" t="s">
        <v>2863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244" t="s">
        <v>2864</v>
      </c>
      <c r="X11" s="1616" t="s">
        <v>2865</v>
      </c>
      <c r="Y11" s="1617">
        <f>$G$3</f>
        <v>2.6</v>
      </c>
      <c r="Z11" s="1617">
        <f t="shared" ref="Z11:AJ11" si="3">$G$3</f>
        <v>2.6</v>
      </c>
      <c r="AA11" s="1617">
        <f t="shared" si="3"/>
        <v>2.6</v>
      </c>
      <c r="AB11" s="1617">
        <f t="shared" si="3"/>
        <v>2.6</v>
      </c>
      <c r="AC11" s="1617">
        <f t="shared" si="3"/>
        <v>2.6</v>
      </c>
      <c r="AD11" s="1617">
        <f t="shared" si="3"/>
        <v>2.6</v>
      </c>
      <c r="AE11" s="1617">
        <f t="shared" si="3"/>
        <v>2.6</v>
      </c>
      <c r="AF11" s="1617">
        <f t="shared" si="3"/>
        <v>2.6</v>
      </c>
      <c r="AG11" s="1617">
        <f t="shared" si="3"/>
        <v>2.6</v>
      </c>
      <c r="AH11" s="1617">
        <f t="shared" si="3"/>
        <v>2.6</v>
      </c>
      <c r="AI11" s="1617">
        <f t="shared" si="3"/>
        <v>2.6</v>
      </c>
      <c r="AJ11" s="1617">
        <f t="shared" si="3"/>
        <v>2.6</v>
      </c>
    </row>
    <row r="12" spans="1:36" ht="25.8" thickBot="1">
      <c r="A12" s="3231" t="s">
        <v>2866</v>
      </c>
      <c r="B12" s="2762" t="s">
        <v>2867</v>
      </c>
      <c r="C12" s="919">
        <f>ROUND(C15*D15*E15*F15*G15*H15*I15*J15,4)</f>
        <v>1</v>
      </c>
      <c r="D12" s="2763" t="s">
        <v>2868</v>
      </c>
      <c r="E12" s="2764"/>
      <c r="F12" s="2764"/>
      <c r="G12" s="2765"/>
      <c r="H12" s="2765"/>
      <c r="I12" s="2765"/>
      <c r="J12" s="2766"/>
      <c r="K12" s="1373"/>
      <c r="L12" s="2767" t="s">
        <v>2869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244"/>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49"/>
      <c r="B13" s="2768" t="s">
        <v>2871</v>
      </c>
      <c r="C13" s="2769" t="s">
        <v>2872</v>
      </c>
      <c r="D13" s="1810" t="s">
        <v>2873</v>
      </c>
      <c r="E13" s="1810" t="s">
        <v>2874</v>
      </c>
      <c r="F13" s="30" t="s">
        <v>2875</v>
      </c>
      <c r="G13" s="2770" t="s">
        <v>2876</v>
      </c>
      <c r="H13" s="2770" t="s">
        <v>2876</v>
      </c>
      <c r="I13" s="2770" t="s">
        <v>2876</v>
      </c>
      <c r="J13" s="2771" t="s">
        <v>2876</v>
      </c>
      <c r="K13" s="1373"/>
      <c r="L13" s="1373"/>
      <c r="M13" s="1373"/>
      <c r="N13" s="1373"/>
      <c r="O13" s="1373"/>
      <c r="P13" s="1373"/>
      <c r="Q13" s="1373"/>
      <c r="R13" s="1604">
        <v>12</v>
      </c>
      <c r="S13" s="1605"/>
      <c r="T13" s="1604">
        <f t="shared" ca="1" si="0"/>
        <v>0</v>
      </c>
      <c r="U13" s="1605"/>
      <c r="V13" s="1604">
        <f t="shared" ca="1" si="1"/>
        <v>0</v>
      </c>
      <c r="W13" s="3244"/>
      <c r="X13" s="1618"/>
      <c r="Y13" s="1615">
        <f>(-0.163*(Y12^2)-0.59*Y12+7617)*(10^(-4))/Y11</f>
        <v>0.2929615384615385</v>
      </c>
      <c r="Z13" s="1615">
        <f t="shared" ref="Z13:AJ13" si="5">(-0.163*(Z12^2)-0.59*Z12+7617)*(10^(-4))/Z11</f>
        <v>0.2929615384615385</v>
      </c>
      <c r="AA13" s="1615">
        <f t="shared" si="5"/>
        <v>0.2929615384615385</v>
      </c>
      <c r="AB13" s="1615">
        <f t="shared" si="5"/>
        <v>0.2929615384615385</v>
      </c>
      <c r="AC13" s="1615">
        <f t="shared" si="5"/>
        <v>0.2929615384615385</v>
      </c>
      <c r="AD13" s="1615">
        <f t="shared" si="5"/>
        <v>0.2929615384615385</v>
      </c>
      <c r="AE13" s="1615">
        <f t="shared" si="5"/>
        <v>0.2929615384615385</v>
      </c>
      <c r="AF13" s="1615">
        <f t="shared" si="5"/>
        <v>0.2929615384615385</v>
      </c>
      <c r="AG13" s="1615">
        <f t="shared" si="5"/>
        <v>0.2929615384615385</v>
      </c>
      <c r="AH13" s="1615">
        <f t="shared" si="5"/>
        <v>0.2929615384615385</v>
      </c>
      <c r="AI13" s="1615">
        <f t="shared" si="5"/>
        <v>0.2929615384615385</v>
      </c>
      <c r="AJ13" s="1615">
        <f t="shared" si="5"/>
        <v>0.2929615384615385</v>
      </c>
    </row>
    <row r="14" spans="1:36" ht="15">
      <c r="A14" s="3249"/>
      <c r="B14" s="2772"/>
      <c r="C14" s="2773"/>
      <c r="D14" s="2774"/>
      <c r="E14" s="2774"/>
      <c r="F14" s="2775"/>
      <c r="G14" s="2776" t="s">
        <v>2877</v>
      </c>
      <c r="H14" s="2777"/>
      <c r="I14" s="2778"/>
      <c r="J14" s="2779"/>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6" thickBot="1">
      <c r="A15" s="3250"/>
      <c r="B15" s="2780" t="s">
        <v>2878</v>
      </c>
      <c r="C15" s="229">
        <f>IF(C14="有",1.1,1)</f>
        <v>1</v>
      </c>
      <c r="D15" s="229">
        <f>IF(D14="有",1.1,1)</f>
        <v>1</v>
      </c>
      <c r="E15" s="229">
        <f>IF(E14="有",1.1,1)</f>
        <v>1</v>
      </c>
      <c r="F15" s="229">
        <f>IF(F14="500米范围内",1.2,IF(F14="500-1000米",1.1,1))</f>
        <v>1</v>
      </c>
      <c r="G15" s="949">
        <v>1</v>
      </c>
      <c r="H15" s="949">
        <v>1</v>
      </c>
      <c r="I15" s="949">
        <v>1</v>
      </c>
      <c r="J15" s="950">
        <v>1</v>
      </c>
      <c r="K15" s="1373"/>
      <c r="L15" s="2781" t="s">
        <v>2815</v>
      </c>
      <c r="M15" s="920" t="s">
        <v>2879</v>
      </c>
      <c r="N15" s="920" t="s">
        <v>2880</v>
      </c>
      <c r="O15" s="920" t="s">
        <v>2881</v>
      </c>
      <c r="P15" s="2782" t="s">
        <v>2882</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31" t="s">
        <v>2883</v>
      </c>
      <c r="B16" s="2749" t="s">
        <v>2884</v>
      </c>
      <c r="C16" s="1803">
        <f>ROUND(SUM(G17:J17)/C17,0)</f>
        <v>20</v>
      </c>
      <c r="D16" s="2783" t="s">
        <v>2885</v>
      </c>
      <c r="E16" s="2784" t="s">
        <v>3074</v>
      </c>
      <c r="F16" s="2785" t="s">
        <v>3075</v>
      </c>
      <c r="G16" s="2786" t="s">
        <v>3060</v>
      </c>
      <c r="H16" s="2786"/>
      <c r="I16" s="2786"/>
      <c r="J16" s="2787"/>
      <c r="K16" s="1373"/>
      <c r="L16" s="2788" t="s">
        <v>2886</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24.6" thickBot="1">
      <c r="A17" s="3232"/>
      <c r="B17" s="2789" t="s">
        <v>2887</v>
      </c>
      <c r="C17" s="924">
        <f>SUMPRODUCT((修正!A2:A5=E2)*(修正!B1:M1=G2)*(修正!B2:M5))</f>
        <v>2.5</v>
      </c>
      <c r="D17" s="2790" t="s">
        <v>2888</v>
      </c>
      <c r="E17" s="923" t="str">
        <f>IF(OR(G2="八级",G2="九级",G2="十级",G2="十一级",G2="十二级"),"五通一平","七通一平")</f>
        <v>七通一平</v>
      </c>
      <c r="F17" s="924" t="s">
        <v>2889</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1"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 thickBot="1">
      <c r="A18" s="2793" t="s">
        <v>808</v>
      </c>
      <c r="B18" s="2794" t="s">
        <v>2891</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4" thickBot="1">
      <c r="A19" s="2793" t="s">
        <v>809</v>
      </c>
      <c r="B19" s="2794" t="s">
        <v>2892</v>
      </c>
      <c r="C19" s="927">
        <f>ROUND(IF(H19="按公示增长率计算",SUMPRODUCT((地价!A3:A22=YEAR(G19)&amp;"-"&amp;ROUNDUP(MONTH(G19)/3,0))*(地价!X2:AB2=E2)*(地价!X3:AB22)),IF(H19="地价指数",M20/M19,(1+I19)^O19)),4)</f>
        <v>1.2907</v>
      </c>
      <c r="D19" s="2801" t="s">
        <v>2893</v>
      </c>
      <c r="E19" s="928">
        <v>41640</v>
      </c>
      <c r="F19" s="2801" t="s">
        <v>2894</v>
      </c>
      <c r="G19" s="929">
        <f>'数据-取费表'!B2</f>
        <v>43269</v>
      </c>
      <c r="H19" s="2802" t="s">
        <v>3077</v>
      </c>
      <c r="I19" s="930" t="str">
        <f>IF(H19="季度增幅（自定义）",SUMIF(N21:N24,E2,O21:O24),"")</f>
        <v/>
      </c>
      <c r="J19" s="2799"/>
      <c r="K19" s="1380"/>
      <c r="L19" s="2803" t="s">
        <v>2895</v>
      </c>
      <c r="M19" s="1736">
        <f>ROUND(SUMIF(地价!B2:F2,E2,地价!B22:F22),0)</f>
        <v>258</v>
      </c>
      <c r="N19" s="2804"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9.4" thickBot="1">
      <c r="A20" s="2808" t="s">
        <v>810</v>
      </c>
      <c r="B20" s="2809" t="s">
        <v>2897</v>
      </c>
      <c r="C20" s="932">
        <f ca="1">ROUND(POWER(1+G20,J20-I20)*(POWER(1+G20,I20)-1)/(POWER(1+G20,J20)-1),4)</f>
        <v>0.80279999999999996</v>
      </c>
      <c r="D20" s="2810" t="s">
        <v>2898</v>
      </c>
      <c r="E20" s="1770">
        <f ca="1">存贷款利率!D4/100</f>
        <v>4.3499999999999997E-2</v>
      </c>
      <c r="F20" s="2810" t="s">
        <v>2890</v>
      </c>
      <c r="G20" s="937">
        <f ca="1">SUMIF(M15:P15,E2,M17:P17)</f>
        <v>5.1999999999999998E-2</v>
      </c>
      <c r="H20" s="2810" t="s">
        <v>2899</v>
      </c>
      <c r="I20" s="938">
        <f>SUMIF('数据-取费表'!C6:C15,E2,'数据-取费表'!F6:F15)/COUNTIF('数据-取费表'!C6:C15,E2)</f>
        <v>26.51</v>
      </c>
      <c r="J20" s="939">
        <f>IF(E2="住宅",70,IF(E2="商业",40,50))</f>
        <v>50</v>
      </c>
      <c r="K20" s="1380"/>
      <c r="L20" s="2811" t="s">
        <v>2900</v>
      </c>
      <c r="M20" s="1737">
        <f>ROUND(SUMPRODUCT((地价!A4:A22=YEAR(G19)&amp;"-"&amp;ROUNDUP(MONTH(G19)/3,0))*(地价!B2:F2=E2)*(地价!B4:F22)),0)</f>
        <v>333</v>
      </c>
      <c r="N20" s="2812" t="s">
        <v>2901</v>
      </c>
      <c r="O20" s="2813" t="s">
        <v>2902</v>
      </c>
      <c r="P20" s="2814" t="s">
        <v>2903</v>
      </c>
      <c r="R20" s="1379"/>
      <c r="S20" s="1379"/>
      <c r="T20" s="1374"/>
      <c r="U20" s="1374"/>
      <c r="V20" s="1374"/>
      <c r="W20" s="1373"/>
      <c r="X20" s="1373"/>
      <c r="Y20" s="1373"/>
      <c r="Z20" s="1380"/>
      <c r="AA20" s="1381"/>
      <c r="AB20" s="1381"/>
      <c r="AC20" s="1381"/>
      <c r="AD20" s="1381"/>
      <c r="AE20" s="1381"/>
      <c r="AF20" s="1381"/>
    </row>
    <row r="21" spans="1:37" s="2742" customFormat="1" ht="14.4">
      <c r="A21" s="2815" t="s">
        <v>811</v>
      </c>
      <c r="B21" s="2816" t="s">
        <v>3076</v>
      </c>
      <c r="C21" s="940">
        <f>IF(B21="容积率修正",IF(G3&lt;=10,D22,J22),C23)</f>
        <v>0.98740000000000006</v>
      </c>
      <c r="D21" s="2817"/>
      <c r="E21" s="2817"/>
      <c r="F21" s="2817"/>
      <c r="G21" s="2817"/>
      <c r="H21" s="2817"/>
      <c r="I21" s="2817"/>
      <c r="J21" s="2818"/>
      <c r="K21" s="1380"/>
      <c r="N21" s="2819" t="s">
        <v>2904</v>
      </c>
      <c r="O21" s="1563"/>
      <c r="P21" s="1564">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2" customFormat="1" ht="14.4">
      <c r="A22" s="2668" t="s">
        <v>2905</v>
      </c>
      <c r="B22" s="2820" t="s">
        <v>2906</v>
      </c>
      <c r="C22" s="1812" t="s">
        <v>2907</v>
      </c>
      <c r="D22" s="1812">
        <f>IF(E22=G22,F22,IF(G3&lt;=10,ROUND(F22+(H22-F22)*(G3-E22)/(G22-E22),4),"——"))</f>
        <v>0.98740000000000006</v>
      </c>
      <c r="E22" s="916">
        <f>ROUNDDOWN(G3,1)</f>
        <v>2.6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0.98740000000000006</v>
      </c>
      <c r="G22" s="916">
        <f>ROUNDUP(G3,1)</f>
        <v>2.6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0.98740000000000006</v>
      </c>
      <c r="I22" s="1812" t="s">
        <v>155</v>
      </c>
      <c r="J22" s="941" t="str">
        <f>IF(G3&gt;10,D113,"——")</f>
        <v>——</v>
      </c>
      <c r="K22" s="1380"/>
      <c r="N22" s="2819" t="s">
        <v>2908</v>
      </c>
      <c r="O22" s="1563"/>
      <c r="P22" s="1564">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9.4" thickBot="1">
      <c r="A23" s="2668" t="s">
        <v>2909</v>
      </c>
      <c r="B23" s="2821" t="s">
        <v>2910</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2911</v>
      </c>
      <c r="O23" s="1563"/>
      <c r="P23" s="1564">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0"/>
    </row>
    <row r="24" spans="1:37" s="2742" customFormat="1" ht="15" thickBot="1">
      <c r="A24" s="2808" t="s">
        <v>812</v>
      </c>
      <c r="B24" s="2794" t="s">
        <v>2912</v>
      </c>
      <c r="C24" s="927">
        <f>SUMIF(A45:A88,E2,B45:B88)</f>
        <v>1.012</v>
      </c>
      <c r="D24" s="2797"/>
      <c r="E24" s="2827"/>
      <c r="F24" s="2827"/>
      <c r="G24" s="2827"/>
      <c r="H24" s="2827"/>
      <c r="I24" s="2827"/>
      <c r="J24" s="2828"/>
      <c r="K24" s="1380"/>
      <c r="N24" s="2829" t="s">
        <v>2913</v>
      </c>
      <c r="O24" s="1565"/>
      <c r="P24" s="1566">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 thickBot="1">
      <c r="A25" s="2808" t="s">
        <v>813</v>
      </c>
      <c r="B25" s="2830" t="s">
        <v>2914</v>
      </c>
      <c r="C25" s="933"/>
      <c r="D25" s="2752"/>
      <c r="E25" s="2752"/>
      <c r="F25" s="2831"/>
      <c r="G25" s="2752"/>
      <c r="H25" s="2752"/>
      <c r="I25" s="2752"/>
      <c r="J25" s="2753"/>
      <c r="K25" s="1373"/>
      <c r="N25" s="2832" t="s">
        <v>2915</v>
      </c>
      <c r="O25" s="1567"/>
      <c r="P25" s="1566">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4.4">
      <c r="A26" s="2833"/>
      <c r="B26" s="2820" t="s">
        <v>2916</v>
      </c>
      <c r="C26" s="206">
        <f ca="1">E29+SUM(E33:E39)</f>
        <v>8941</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 thickBot="1">
      <c r="A27" s="2833"/>
      <c r="B27" s="2837" t="s">
        <v>2917</v>
      </c>
      <c r="C27" s="934">
        <f ca="1">E30+SUM(I33:I39)</f>
        <v>339</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2"/>
      <c r="B28" s="2843" t="s">
        <v>2918</v>
      </c>
      <c r="C28" s="2844" t="s">
        <v>2919</v>
      </c>
      <c r="D28" s="2844" t="s">
        <v>2920</v>
      </c>
      <c r="E28" s="2845" t="s">
        <v>2921</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2922</v>
      </c>
      <c r="C29" s="206">
        <f ca="1">ROUND(C5*C18*C19*C20*C21*C24,0)</f>
        <v>16742</v>
      </c>
      <c r="D29" s="2849">
        <f>'数据-汇总表'!F19</f>
        <v>4531.2000000000007</v>
      </c>
      <c r="E29" s="945">
        <f ca="1">ROUND(C29*D29/10000,0)</f>
        <v>7586</v>
      </c>
      <c r="F29" s="2850" t="s">
        <v>2923</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8" thickBot="1">
      <c r="A30" s="2853"/>
      <c r="B30" s="2854" t="s">
        <v>2924</v>
      </c>
      <c r="C30" s="229">
        <f ca="1">ROUND(IF(E2="工业",C29*M39,C29*M38),0)</f>
        <v>4186</v>
      </c>
      <c r="D30" s="2855"/>
      <c r="E30" s="945">
        <f ca="1">ROUND(C30*D30/10000,0)</f>
        <v>0</v>
      </c>
      <c r="F30" s="2856" t="s">
        <v>2925</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3.8">
      <c r="A31" s="2859"/>
      <c r="B31" s="2860" t="s">
        <v>2926</v>
      </c>
      <c r="C31" s="2861" t="s">
        <v>2927</v>
      </c>
      <c r="D31" s="2765"/>
      <c r="E31" s="2861"/>
      <c r="F31" s="2861"/>
      <c r="G31" s="2763" t="s">
        <v>2928</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36">
      <c r="A32" s="2847"/>
      <c r="B32" s="2863"/>
      <c r="C32" s="501" t="s">
        <v>2919</v>
      </c>
      <c r="D32" s="498" t="s">
        <v>2920</v>
      </c>
      <c r="E32" s="498" t="s">
        <v>2921</v>
      </c>
      <c r="F32" s="388" t="s">
        <v>2929</v>
      </c>
      <c r="G32" s="2864" t="s">
        <v>2919</v>
      </c>
      <c r="H32" s="2864" t="s">
        <v>2920</v>
      </c>
      <c r="I32" s="2864"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39" t="s">
        <v>2930</v>
      </c>
      <c r="B33" s="2865" t="s">
        <v>2931</v>
      </c>
      <c r="C33" s="206">
        <f ca="1">ROUND(D5*C19*C20*C24*F33,0)</f>
        <v>0</v>
      </c>
      <c r="D33" s="2849"/>
      <c r="E33" s="200">
        <f ca="1">ROUND(C33*D33/10000,0)</f>
        <v>0</v>
      </c>
      <c r="F33" s="200">
        <f>SUMIF(修正!A45:A56,G2,修正!B45:B56)</f>
        <v>0.7</v>
      </c>
      <c r="G33" s="200">
        <f t="shared" ref="G33"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40"/>
      <c r="B34" s="2769" t="s">
        <v>2932</v>
      </c>
      <c r="C34" s="206">
        <f ca="1">ROUND(D5*C19*C20*C24*F34,0)</f>
        <v>0</v>
      </c>
      <c r="D34" s="2849"/>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0"/>
      <c r="B35" s="2769" t="s">
        <v>2933</v>
      </c>
      <c r="C35" s="206">
        <f ca="1">ROUND(D5*C19*C20*C24*F35,0)</f>
        <v>0</v>
      </c>
      <c r="D35" s="2849"/>
      <c r="E35" s="200">
        <f t="shared" ca="1" si="7"/>
        <v>0</v>
      </c>
      <c r="F35" s="200">
        <f>SUMIF(修正!A45:A56,G2,修正!D45:D56)</f>
        <v>0.28000000000000003</v>
      </c>
      <c r="G35" s="200">
        <f ca="1">ROUND(IF(E2="工业",C35*$M$39,C35*$M$38),0)</f>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8" thickBot="1">
      <c r="A36" s="3241"/>
      <c r="B36" s="2769" t="s">
        <v>2934</v>
      </c>
      <c r="C36" s="206">
        <f ca="1">ROUND(D5*C19*C20*C24*F36,0)</f>
        <v>0</v>
      </c>
      <c r="D36" s="2849"/>
      <c r="E36" s="200">
        <f t="shared" ca="1" si="7"/>
        <v>0</v>
      </c>
      <c r="F36" s="200">
        <f>SUMIF(修正!A45:A56,G2,修正!E45:E56)</f>
        <v>0.25</v>
      </c>
      <c r="G36" s="200">
        <f ca="1">ROUND(IF(E2="工业",C36*$M$39,C36*$M$38),0)</f>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2935</v>
      </c>
      <c r="C37" s="200">
        <f ca="1">ROUND(C5*C19*C20*C24*F37,0)</f>
        <v>4239</v>
      </c>
      <c r="D37" s="2849">
        <f>'数据-基础表'!K5</f>
        <v>3196.2</v>
      </c>
      <c r="E37" s="200">
        <f t="shared" ca="1" si="7"/>
        <v>1355</v>
      </c>
      <c r="F37" s="206">
        <f>SUMIF(修正!A45:A56,G2,修正!F45:F56)</f>
        <v>0.25</v>
      </c>
      <c r="G37" s="200">
        <f ca="1">ROUND(IF(E2="工业",C37*$M$39,C37*$M$38),0)</f>
        <v>1060</v>
      </c>
      <c r="H37" s="200">
        <f t="shared" si="8"/>
        <v>3196.2</v>
      </c>
      <c r="I37" s="200">
        <f t="shared" ca="1" si="9"/>
        <v>339</v>
      </c>
      <c r="J37" s="2866"/>
      <c r="K37" s="1373"/>
      <c r="L37" s="2868" t="s">
        <v>2936</v>
      </c>
      <c r="M37" s="2869"/>
      <c r="N37" s="1373"/>
      <c r="O37" s="1373"/>
      <c r="P37" s="1373"/>
      <c r="Q37" s="1373"/>
      <c r="R37" s="1373"/>
      <c r="S37" s="1373"/>
      <c r="T37" s="1373"/>
      <c r="U37" s="1373"/>
      <c r="V37" s="1373"/>
      <c r="W37" s="1373"/>
      <c r="X37" s="1373"/>
      <c r="Y37" s="1373"/>
      <c r="Z37" s="1374"/>
    </row>
    <row r="38" spans="1:37">
      <c r="A38" s="2867"/>
      <c r="B38" s="2769" t="s">
        <v>2937</v>
      </c>
      <c r="C38" s="200">
        <f ca="1">ROUND(C5*C19*C20*C24*F38,0)</f>
        <v>4239</v>
      </c>
      <c r="D38" s="2849"/>
      <c r="E38" s="200">
        <f t="shared" ca="1" si="7"/>
        <v>0</v>
      </c>
      <c r="F38" s="206">
        <f>SUMIF(修正!A45:A56,G2,修正!G45:G56)</f>
        <v>0.25</v>
      </c>
      <c r="G38" s="200">
        <f ca="1">ROUND(IF(E2="工业",C38*$M$39,C38*$M$38),0)</f>
        <v>1060</v>
      </c>
      <c r="H38" s="200">
        <f t="shared" si="8"/>
        <v>0</v>
      </c>
      <c r="I38" s="200">
        <f t="shared" ca="1" si="9"/>
        <v>0</v>
      </c>
      <c r="J38" s="2866"/>
      <c r="K38" s="1373"/>
      <c r="L38" s="1889" t="s">
        <v>2938</v>
      </c>
      <c r="M38" s="2870">
        <v>0.25</v>
      </c>
      <c r="N38" s="1373"/>
      <c r="O38" s="1373"/>
      <c r="P38" s="1373"/>
      <c r="Q38" s="1373"/>
      <c r="R38" s="1373"/>
      <c r="S38" s="1373"/>
      <c r="T38" s="1373"/>
      <c r="U38" s="1373"/>
      <c r="V38" s="1373"/>
      <c r="W38" s="1373"/>
      <c r="X38" s="1373"/>
      <c r="Y38" s="1373"/>
      <c r="Z38" s="1374"/>
    </row>
    <row r="39" spans="1:37" ht="13.8" thickBot="1">
      <c r="A39" s="2853"/>
      <c r="B39" s="2871" t="s">
        <v>2939</v>
      </c>
      <c r="C39" s="229">
        <f ca="1">ROUND(C5*C19*C20*C24*F39,0)</f>
        <v>3391</v>
      </c>
      <c r="D39" s="2855"/>
      <c r="E39" s="229">
        <f t="shared" ca="1" si="7"/>
        <v>0</v>
      </c>
      <c r="F39" s="935">
        <f>SUMIF(修正!A45:A56,G2,修正!H45:H56)</f>
        <v>0.2</v>
      </c>
      <c r="G39" s="229">
        <f ca="1">ROUND(IF(E2="工业",C39*$M$39,C39*$M$38),0)</f>
        <v>848</v>
      </c>
      <c r="H39" s="229">
        <f t="shared" si="8"/>
        <v>0</v>
      </c>
      <c r="I39" s="229">
        <f t="shared" ca="1" si="9"/>
        <v>0</v>
      </c>
      <c r="J39" s="2872"/>
      <c r="K39" s="1373"/>
      <c r="L39" s="2873" t="s">
        <v>2882</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 thickBot="1">
      <c r="A45" s="2876" t="s">
        <v>2940</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4.4">
      <c r="A46" s="2878" t="s">
        <v>2941</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5.2">
      <c r="A47" s="2882" t="s">
        <v>2942</v>
      </c>
      <c r="B47" s="1811" t="s">
        <v>2943</v>
      </c>
      <c r="C47" s="1811" t="s">
        <v>2944</v>
      </c>
      <c r="D47" s="1811" t="s">
        <v>2945</v>
      </c>
      <c r="E47" s="819" t="s">
        <v>2946</v>
      </c>
      <c r="F47" s="2883" t="s">
        <v>2947</v>
      </c>
      <c r="G47" s="1811" t="s">
        <v>754</v>
      </c>
      <c r="H47" s="2884" t="s">
        <v>2948</v>
      </c>
      <c r="I47" s="1811"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52.8">
      <c r="A48" s="2882" t="s">
        <v>2950</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2" t="s">
        <v>2951</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2952</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2" t="s">
        <v>2953</v>
      </c>
      <c r="B51" s="2887" t="s">
        <v>2954</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2955</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2" t="s">
        <v>2956</v>
      </c>
      <c r="B53" s="2888" t="s">
        <v>2957</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89" t="s">
        <v>2958</v>
      </c>
      <c r="B54" s="1727"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9" t="s">
        <v>2959</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0" t="s">
        <v>2960</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8" t="s">
        <v>2961</v>
      </c>
      <c r="B57" s="2879">
        <f>1+E59</f>
        <v>1.012</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2" t="s">
        <v>2942</v>
      </c>
      <c r="B58" s="1811"/>
      <c r="C58" s="1811" t="s">
        <v>2944</v>
      </c>
      <c r="D58" s="1811" t="s">
        <v>2945</v>
      </c>
      <c r="E58" s="819" t="s">
        <v>2946</v>
      </c>
      <c r="F58" s="2883" t="s">
        <v>2962</v>
      </c>
      <c r="G58" s="1811" t="s">
        <v>754</v>
      </c>
      <c r="H58" s="2884" t="s">
        <v>2948</v>
      </c>
      <c r="I58" s="1811"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52.8">
      <c r="A59" s="2882" t="s">
        <v>2963</v>
      </c>
      <c r="B59" s="2885" t="str">
        <f>估价对象房地状况!C17</f>
        <v>估价对象位于XX商圈，周边办公楼项目较多，入驻率高，办公集聚程度较好</v>
      </c>
      <c r="C59" s="2774" t="s">
        <v>3079</v>
      </c>
      <c r="D59" s="1289">
        <f t="shared" ref="D59:D67" si="15">SUMIF($J$58:$N$58,C59,J59:N59)</f>
        <v>-1.0999999999999999E-2</v>
      </c>
      <c r="E59" s="821">
        <f>ROUND(SUM(D59:D67),4)</f>
        <v>1.2E-2</v>
      </c>
      <c r="F59" s="2505">
        <f>IF(E2="办公",SUMIF(L1:L12,G2,N1:N12),"——")</f>
        <v>9.6000000000000002E-2</v>
      </c>
      <c r="G59" s="1287">
        <v>1.0999999999999999E-2</v>
      </c>
      <c r="H59" s="1291">
        <f t="shared" ref="H59:H67" si="16">IFERROR(ROUNDDOWN($F$59*I59/2,4),"——")</f>
        <v>1.15E-2</v>
      </c>
      <c r="I59" s="820">
        <v>0.24</v>
      </c>
      <c r="J59" s="1288">
        <f t="shared" ref="J59:J67" si="17">K59+$G59</f>
        <v>2.1999999999999999E-2</v>
      </c>
      <c r="K59" s="1288">
        <f t="shared" ref="K59:K67" si="18">$L59+$G59</f>
        <v>1.0999999999999999E-2</v>
      </c>
      <c r="L59" s="1288">
        <v>0</v>
      </c>
      <c r="M59" s="1288">
        <f t="shared" ref="M59:N67" si="19">L59-$G59</f>
        <v>-1.0999999999999999E-2</v>
      </c>
      <c r="N59" s="1288">
        <f t="shared" si="19"/>
        <v>-2.1999999999999999E-2</v>
      </c>
      <c r="AA59" s="1374"/>
      <c r="AB59" s="1374"/>
      <c r="AC59" s="1374"/>
      <c r="AD59" s="1374"/>
      <c r="AE59" s="1374"/>
      <c r="AF59" s="1374"/>
      <c r="AG59" s="1374"/>
      <c r="AH59" s="1374"/>
      <c r="AI59" s="1374"/>
      <c r="AJ59" s="1374"/>
      <c r="AK59" s="1374"/>
    </row>
    <row r="60" spans="1:37" s="1373" customFormat="1" ht="66">
      <c r="A60" s="2882" t="s">
        <v>2951</v>
      </c>
      <c r="B60" s="2886" t="str">
        <f>估价对象房地状况!C18</f>
        <v>估价对象周边道路状况、公共交通通达情况、停车便捷程度，综合评价交通便捷度较好</v>
      </c>
      <c r="C60" s="2774" t="s">
        <v>3080</v>
      </c>
      <c r="D60" s="1289">
        <f t="shared" si="15"/>
        <v>1.4E-2</v>
      </c>
      <c r="E60" s="822"/>
      <c r="F60" s="2505"/>
      <c r="G60" s="1287">
        <v>1.4E-2</v>
      </c>
      <c r="H60" s="1291">
        <f t="shared" si="16"/>
        <v>1.44E-2</v>
      </c>
      <c r="I60" s="820">
        <v>0.3</v>
      </c>
      <c r="J60" s="1288">
        <f t="shared" si="17"/>
        <v>2.8000000000000001E-2</v>
      </c>
      <c r="K60" s="1288">
        <f t="shared" si="18"/>
        <v>1.4E-2</v>
      </c>
      <c r="L60" s="1288">
        <v>0</v>
      </c>
      <c r="M60" s="1288">
        <f t="shared" si="19"/>
        <v>-1.4E-2</v>
      </c>
      <c r="N60" s="1288">
        <f t="shared" si="19"/>
        <v>-2.8000000000000001E-2</v>
      </c>
      <c r="AA60" s="1374"/>
      <c r="AB60" s="1374"/>
      <c r="AC60" s="1374"/>
      <c r="AD60" s="1374"/>
      <c r="AE60" s="1374"/>
      <c r="AF60" s="1374"/>
      <c r="AG60" s="1374"/>
      <c r="AH60" s="1374"/>
      <c r="AI60" s="1374"/>
      <c r="AJ60" s="1374"/>
      <c r="AK60" s="1374"/>
    </row>
    <row r="61" spans="1:37" s="1373" customFormat="1" ht="24">
      <c r="A61" s="2882" t="s">
        <v>2952</v>
      </c>
      <c r="B61" s="2886">
        <f>估价对象房地状况!C19</f>
        <v>0</v>
      </c>
      <c r="C61" s="2774" t="s">
        <v>3079</v>
      </c>
      <c r="D61" s="1289">
        <f t="shared" si="15"/>
        <v>-3.5000000000000001E-3</v>
      </c>
      <c r="E61" s="822"/>
      <c r="F61" s="2505"/>
      <c r="G61" s="1287">
        <v>3.5000000000000001E-3</v>
      </c>
      <c r="H61" s="1291">
        <f t="shared" si="16"/>
        <v>3.8E-3</v>
      </c>
      <c r="I61" s="820">
        <v>0.08</v>
      </c>
      <c r="J61" s="1288">
        <f t="shared" si="17"/>
        <v>7.0000000000000001E-3</v>
      </c>
      <c r="K61" s="1288">
        <f t="shared" si="18"/>
        <v>3.5000000000000001E-3</v>
      </c>
      <c r="L61" s="1288">
        <v>0</v>
      </c>
      <c r="M61" s="1288">
        <f t="shared" si="19"/>
        <v>-3.5000000000000001E-3</v>
      </c>
      <c r="N61" s="1288">
        <f t="shared" si="19"/>
        <v>-7.0000000000000001E-3</v>
      </c>
      <c r="AA61" s="1374"/>
      <c r="AB61" s="1374"/>
      <c r="AC61" s="1374"/>
      <c r="AD61" s="1374"/>
      <c r="AE61" s="1374"/>
      <c r="AF61" s="1374"/>
      <c r="AG61" s="1374"/>
      <c r="AH61" s="1374"/>
      <c r="AI61" s="1374"/>
      <c r="AJ61" s="1374"/>
      <c r="AK61" s="1374"/>
    </row>
    <row r="62" spans="1:37" s="1373" customFormat="1" ht="50.4">
      <c r="A62" s="2882" t="s">
        <v>2953</v>
      </c>
      <c r="B62" s="2887" t="s">
        <v>2954</v>
      </c>
      <c r="C62" s="2774" t="s">
        <v>3078</v>
      </c>
      <c r="D62" s="1289">
        <f t="shared" si="15"/>
        <v>0</v>
      </c>
      <c r="E62" s="822"/>
      <c r="F62" s="2505"/>
      <c r="G62" s="1287">
        <v>1.5E-3</v>
      </c>
      <c r="H62" s="1291">
        <f t="shared" si="16"/>
        <v>1.9E-3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2" t="s">
        <v>2955</v>
      </c>
      <c r="B63" s="2886">
        <f>估价对象房地状况!C24</f>
        <v>0</v>
      </c>
      <c r="C63" s="2774" t="s">
        <v>3078</v>
      </c>
      <c r="D63" s="1289">
        <f t="shared" si="15"/>
        <v>0</v>
      </c>
      <c r="E63" s="822"/>
      <c r="F63" s="2505"/>
      <c r="G63" s="1287">
        <v>2E-3</v>
      </c>
      <c r="H63" s="1291">
        <f t="shared" si="16"/>
        <v>2.3999999999999998E-3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36">
      <c r="A64" s="2882" t="s">
        <v>2956</v>
      </c>
      <c r="B64" s="2888" t="s">
        <v>2957</v>
      </c>
      <c r="C64" s="2774" t="s">
        <v>3080</v>
      </c>
      <c r="D64" s="1289">
        <f t="shared" si="15"/>
        <v>2E-3</v>
      </c>
      <c r="E64" s="822"/>
      <c r="F64" s="2505"/>
      <c r="G64" s="1287">
        <v>2E-3</v>
      </c>
      <c r="H64" s="1291">
        <f t="shared" si="16"/>
        <v>2.3999999999999998E-3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6.4">
      <c r="A65" s="2882" t="s">
        <v>2958</v>
      </c>
      <c r="B65" s="1727" t="str">
        <f>估价对象房地状况!C21</f>
        <v>估价对象所在区域公共配套设施齐备情况</v>
      </c>
      <c r="C65" s="2774" t="s">
        <v>3080</v>
      </c>
      <c r="D65" s="1289">
        <f t="shared" si="15"/>
        <v>2.5000000000000001E-3</v>
      </c>
      <c r="E65" s="822"/>
      <c r="F65" s="2505"/>
      <c r="G65" s="1287">
        <v>2.5000000000000001E-3</v>
      </c>
      <c r="H65" s="1291">
        <f t="shared" si="16"/>
        <v>2.8E-3</v>
      </c>
      <c r="I65" s="820">
        <v>0.06</v>
      </c>
      <c r="J65" s="1288">
        <f t="shared" si="17"/>
        <v>5.0000000000000001E-3</v>
      </c>
      <c r="K65" s="1288">
        <f t="shared" si="18"/>
        <v>2.5000000000000001E-3</v>
      </c>
      <c r="L65" s="1288">
        <v>0</v>
      </c>
      <c r="M65" s="1288">
        <f t="shared" si="19"/>
        <v>-2.5000000000000001E-3</v>
      </c>
      <c r="N65" s="1288">
        <f t="shared" si="19"/>
        <v>-5.0000000000000001E-3</v>
      </c>
      <c r="AA65" s="1374"/>
      <c r="AB65" s="1374"/>
      <c r="AC65" s="1374"/>
      <c r="AD65" s="1374"/>
      <c r="AE65" s="1374"/>
      <c r="AF65" s="1374"/>
      <c r="AG65" s="1374"/>
      <c r="AH65" s="1374"/>
      <c r="AI65" s="1374"/>
      <c r="AJ65" s="1374"/>
      <c r="AK65" s="1374"/>
    </row>
    <row r="66" spans="1:37" s="1373" customFormat="1" ht="26.4">
      <c r="A66" s="2882" t="s">
        <v>2959</v>
      </c>
      <c r="B66" s="1727" t="str">
        <f>估价对象房地状况!C22</f>
        <v>估价对象所在区域基础设施水平</v>
      </c>
      <c r="C66" s="2774" t="s">
        <v>3080</v>
      </c>
      <c r="D66" s="1289">
        <f t="shared" si="15"/>
        <v>5.4999999999999997E-3</v>
      </c>
      <c r="E66" s="822"/>
      <c r="F66" s="2505"/>
      <c r="G66" s="1287">
        <v>5.4999999999999997E-3</v>
      </c>
      <c r="H66" s="1291">
        <f t="shared" si="16"/>
        <v>5.7000000000000002E-3</v>
      </c>
      <c r="I66" s="820">
        <v>0.12</v>
      </c>
      <c r="J66" s="1288">
        <f t="shared" si="17"/>
        <v>1.0999999999999999E-2</v>
      </c>
      <c r="K66" s="1288">
        <f t="shared" si="18"/>
        <v>5.4999999999999997E-3</v>
      </c>
      <c r="L66" s="1288">
        <v>0</v>
      </c>
      <c r="M66" s="1288">
        <f t="shared" si="19"/>
        <v>-5.4999999999999997E-3</v>
      </c>
      <c r="N66" s="1288">
        <f t="shared" si="19"/>
        <v>-1.0999999999999999E-2</v>
      </c>
      <c r="AA66" s="1374"/>
      <c r="AB66" s="1374"/>
      <c r="AC66" s="1374"/>
      <c r="AD66" s="1374"/>
      <c r="AE66" s="1374"/>
      <c r="AF66" s="1374"/>
      <c r="AG66" s="1374"/>
      <c r="AH66" s="1374"/>
      <c r="AI66" s="1374"/>
      <c r="AJ66" s="1374"/>
      <c r="AK66" s="1374"/>
    </row>
    <row r="67" spans="1:37" s="1373" customFormat="1" ht="40.200000000000003" thickBot="1">
      <c r="A67" s="2890" t="s">
        <v>2960</v>
      </c>
      <c r="B67" s="2892" t="str">
        <f>估价对象房地状况!C20</f>
        <v>区域自然环境：；人文环境；综合评价环境状况一般</v>
      </c>
      <c r="C67" s="2774" t="s">
        <v>3080</v>
      </c>
      <c r="D67" s="1289">
        <f t="shared" si="15"/>
        <v>2.5000000000000001E-3</v>
      </c>
      <c r="E67" s="825"/>
      <c r="F67" s="2505"/>
      <c r="G67" s="1287">
        <v>2.5000000000000001E-3</v>
      </c>
      <c r="H67" s="1291">
        <f t="shared" si="16"/>
        <v>2.8E-3</v>
      </c>
      <c r="I67" s="824">
        <v>0.06</v>
      </c>
      <c r="J67" s="1288">
        <f t="shared" si="17"/>
        <v>5.0000000000000001E-3</v>
      </c>
      <c r="K67" s="1288">
        <f t="shared" si="18"/>
        <v>2.5000000000000001E-3</v>
      </c>
      <c r="L67" s="1288">
        <v>0</v>
      </c>
      <c r="M67" s="1288">
        <f t="shared" si="19"/>
        <v>-2.5000000000000001E-3</v>
      </c>
      <c r="N67" s="1288">
        <f t="shared" si="19"/>
        <v>-5.0000000000000001E-3</v>
      </c>
      <c r="AA67" s="1374"/>
      <c r="AB67" s="1374"/>
      <c r="AC67" s="1374"/>
      <c r="AD67" s="1374"/>
      <c r="AE67" s="1374"/>
      <c r="AF67" s="1374"/>
      <c r="AG67" s="1374"/>
      <c r="AH67" s="1374"/>
      <c r="AI67" s="1374"/>
      <c r="AJ67" s="1374"/>
      <c r="AK67" s="1374"/>
    </row>
    <row r="68" spans="1:37" s="1373" customFormat="1" ht="14.4">
      <c r="A68" s="2878" t="s">
        <v>2964</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2" t="s">
        <v>2942</v>
      </c>
      <c r="B69" s="1811"/>
      <c r="C69" s="1811" t="s">
        <v>2944</v>
      </c>
      <c r="D69" s="1811" t="s">
        <v>2945</v>
      </c>
      <c r="E69" s="819" t="s">
        <v>2946</v>
      </c>
      <c r="F69" s="2883" t="s">
        <v>2962</v>
      </c>
      <c r="G69" s="1811" t="s">
        <v>754</v>
      </c>
      <c r="H69" s="2884" t="s">
        <v>2948</v>
      </c>
      <c r="I69" s="1811"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66">
      <c r="A70" s="2882" t="s">
        <v>2965</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2" t="s">
        <v>2951</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2952</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2" t="s">
        <v>2966</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2" t="s">
        <v>2958</v>
      </c>
      <c r="B74" s="1727"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2" t="s">
        <v>2959</v>
      </c>
      <c r="B75" s="1727"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36">
      <c r="A76" s="2882" t="s">
        <v>2956</v>
      </c>
      <c r="B76" s="2888" t="s">
        <v>2957</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9.6">
      <c r="A77" s="2882" t="s">
        <v>2960</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36.6" thickBot="1">
      <c r="A78" s="2890" t="s">
        <v>2967</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4.4">
      <c r="A79" s="2878" t="s">
        <v>2968</v>
      </c>
      <c r="B79" s="2879">
        <f>1+E81</f>
        <v>1</v>
      </c>
      <c r="C79" s="814"/>
      <c r="D79" s="814"/>
      <c r="E79" s="815"/>
      <c r="F79" s="2881"/>
      <c r="G79" s="6"/>
      <c r="H79" s="6"/>
      <c r="I79" s="6"/>
      <c r="J79" s="7"/>
      <c r="K79" s="7"/>
      <c r="L79" s="7"/>
      <c r="M79" s="7"/>
      <c r="N79" s="7"/>
      <c r="Z79" s="2724"/>
      <c r="AA79" s="2800"/>
      <c r="AG79" s="1375"/>
      <c r="AK79" s="2800"/>
    </row>
    <row r="80" spans="1:37" ht="25.2">
      <c r="A80" s="2882" t="s">
        <v>2942</v>
      </c>
      <c r="B80" s="1811"/>
      <c r="C80" s="1811" t="s">
        <v>2944</v>
      </c>
      <c r="D80" s="1811" t="s">
        <v>2945</v>
      </c>
      <c r="E80" s="819" t="s">
        <v>2946</v>
      </c>
      <c r="F80" s="2883" t="s">
        <v>2962</v>
      </c>
      <c r="G80" s="1811" t="s">
        <v>754</v>
      </c>
      <c r="H80" s="2884" t="s">
        <v>2948</v>
      </c>
      <c r="I80" s="1811" t="s">
        <v>2949</v>
      </c>
      <c r="J80" s="603" t="s">
        <v>2598</v>
      </c>
      <c r="K80" s="603" t="s">
        <v>2599</v>
      </c>
      <c r="L80" s="603" t="s">
        <v>2600</v>
      </c>
      <c r="M80" s="603" t="s">
        <v>2601</v>
      </c>
      <c r="N80" s="603" t="s">
        <v>2602</v>
      </c>
      <c r="Z80" s="2724"/>
      <c r="AA80" s="2800"/>
      <c r="AG80" s="1375"/>
      <c r="AK80" s="2800"/>
    </row>
    <row r="81" spans="1:37" ht="39.6">
      <c r="A81" s="2882" t="s">
        <v>2969</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66">
      <c r="A82" s="2882" t="s">
        <v>2951</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2952</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3.8">
      <c r="A84" s="2882" t="s">
        <v>2966</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6.4">
      <c r="A85" s="2882" t="s">
        <v>2958</v>
      </c>
      <c r="B85" s="1727"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6.4">
      <c r="A86" s="2882" t="s">
        <v>2959</v>
      </c>
      <c r="B86" s="1727"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36">
      <c r="A87" s="2882" t="s">
        <v>2956</v>
      </c>
      <c r="B87" s="2888" t="s">
        <v>2970</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53.4" thickBot="1">
      <c r="A88" s="2890" t="s">
        <v>2971</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33" t="s">
        <v>2972</v>
      </c>
      <c r="B90" s="3233"/>
      <c r="C90" s="3233"/>
      <c r="D90" s="3233"/>
      <c r="E90" s="3233"/>
      <c r="F90" s="3233"/>
      <c r="G90" s="3233"/>
      <c r="H90" s="3233"/>
      <c r="I90" s="3233"/>
      <c r="J90" s="3233"/>
      <c r="K90" s="2896"/>
      <c r="L90" s="2896"/>
      <c r="M90" s="2896"/>
      <c r="N90" s="2896"/>
    </row>
    <row r="91" spans="1:37">
      <c r="A91" s="3235" t="s">
        <v>2973</v>
      </c>
      <c r="B91" s="3235" t="s">
        <v>2974</v>
      </c>
      <c r="C91" s="2850" t="s">
        <v>2975</v>
      </c>
      <c r="D91" s="2851"/>
      <c r="E91" s="2851"/>
      <c r="F91" s="2851"/>
      <c r="G91" s="2851"/>
      <c r="H91" s="2851"/>
      <c r="I91" s="2851"/>
      <c r="J91" s="2897"/>
      <c r="K91" s="2898"/>
      <c r="L91" s="2898"/>
      <c r="M91" s="2898"/>
      <c r="N91" s="2898"/>
    </row>
    <row r="92" spans="1:37">
      <c r="A92" s="3235"/>
      <c r="B92" s="3235"/>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36" t="s">
        <v>2976</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3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3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3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3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3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37"/>
      <c r="B99" s="2899" t="s">
        <v>2857</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3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36" t="s">
        <v>2977</v>
      </c>
      <c r="B101" s="2903" t="s">
        <v>2978</v>
      </c>
      <c r="C101" s="2904">
        <f>$G$3</f>
        <v>2.6</v>
      </c>
      <c r="D101" s="2904">
        <f t="shared" ref="D101:N101" si="31">$G$3</f>
        <v>2.6</v>
      </c>
      <c r="E101" s="2904">
        <f t="shared" si="31"/>
        <v>2.6</v>
      </c>
      <c r="F101" s="2904">
        <f t="shared" si="31"/>
        <v>2.6</v>
      </c>
      <c r="G101" s="2904">
        <f t="shared" si="31"/>
        <v>2.6</v>
      </c>
      <c r="H101" s="2904">
        <f t="shared" si="31"/>
        <v>2.6</v>
      </c>
      <c r="I101" s="2904">
        <f t="shared" si="31"/>
        <v>2.6</v>
      </c>
      <c r="J101" s="2904">
        <f t="shared" si="31"/>
        <v>2.6</v>
      </c>
      <c r="K101" s="2904">
        <f t="shared" si="31"/>
        <v>2.6</v>
      </c>
      <c r="L101" s="2904">
        <f t="shared" si="31"/>
        <v>2.6</v>
      </c>
      <c r="M101" s="2904">
        <f t="shared" si="31"/>
        <v>2.6</v>
      </c>
      <c r="N101" s="2904">
        <f t="shared" si="31"/>
        <v>2.6</v>
      </c>
    </row>
    <row r="102" spans="1:14">
      <c r="A102" s="3237"/>
      <c r="B102" s="2899">
        <v>1</v>
      </c>
      <c r="C102" s="2900">
        <f>1.9362/C101</f>
        <v>0.74469230769230765</v>
      </c>
      <c r="D102" s="2900">
        <f>1.9362/D101</f>
        <v>0.74469230769230765</v>
      </c>
      <c r="E102" s="2900">
        <f>1.8629/E101</f>
        <v>0.71650000000000003</v>
      </c>
      <c r="F102" s="2900">
        <f>1.8629/F101</f>
        <v>0.71650000000000003</v>
      </c>
      <c r="G102" s="2900">
        <f>1.8629/G101</f>
        <v>0.71650000000000003</v>
      </c>
      <c r="H102" s="2900">
        <f>1.8629/H101</f>
        <v>0.71650000000000003</v>
      </c>
      <c r="I102" s="2900">
        <f>1.8629/I101</f>
        <v>0.71650000000000003</v>
      </c>
      <c r="J102" s="2900">
        <f>1.942/J101</f>
        <v>0.74692307692307691</v>
      </c>
      <c r="K102" s="2900">
        <f>1.942/K101</f>
        <v>0.74692307692307691</v>
      </c>
      <c r="L102" s="2900">
        <f>1.942/L101</f>
        <v>0.74692307692307691</v>
      </c>
      <c r="M102" s="2900">
        <f>1.942/M101</f>
        <v>0.74692307692307691</v>
      </c>
      <c r="N102" s="2900">
        <f>1.942/N101</f>
        <v>0.74692307692307691</v>
      </c>
    </row>
    <row r="103" spans="1:14">
      <c r="A103" s="3237"/>
      <c r="B103" s="2899">
        <v>2</v>
      </c>
      <c r="C103" s="2900">
        <f>1.4198/C101</f>
        <v>0.54607692307692302</v>
      </c>
      <c r="D103" s="2900">
        <f>1.4198/D101</f>
        <v>0.54607692307692302</v>
      </c>
      <c r="E103" s="2900">
        <f>1.3372/E101</f>
        <v>0.51430769230769224</v>
      </c>
      <c r="F103" s="2900">
        <f>1.3372/F101</f>
        <v>0.51430769230769224</v>
      </c>
      <c r="G103" s="2900">
        <f>1.3372/G101</f>
        <v>0.51430769230769224</v>
      </c>
      <c r="H103" s="2900">
        <f>1.3372/H101</f>
        <v>0.51430769230769224</v>
      </c>
      <c r="I103" s="2900">
        <f>1.3372/I101</f>
        <v>0.51430769230769224</v>
      </c>
      <c r="J103" s="2900">
        <f>1.2799/J101</f>
        <v>0.49226923076923079</v>
      </c>
      <c r="K103" s="2900">
        <f>1.2799/K101</f>
        <v>0.49226923076923079</v>
      </c>
      <c r="L103" s="2900">
        <f>1.2799/L101</f>
        <v>0.49226923076923079</v>
      </c>
      <c r="M103" s="2900">
        <f>1.2799/M101</f>
        <v>0.49226923076923079</v>
      </c>
      <c r="N103" s="2900">
        <f>1.2799/N101</f>
        <v>0.49226923076923079</v>
      </c>
    </row>
    <row r="104" spans="1:14">
      <c r="A104" s="3237"/>
      <c r="B104" s="2899">
        <v>3</v>
      </c>
      <c r="C104" s="2900">
        <f>1.1594/C101</f>
        <v>0.44592307692307692</v>
      </c>
      <c r="D104" s="2900">
        <f>1.1594/D101</f>
        <v>0.44592307692307692</v>
      </c>
      <c r="E104" s="2900">
        <f>1.0788/E101</f>
        <v>0.41492307692307689</v>
      </c>
      <c r="F104" s="2900">
        <f>1.0788/F101</f>
        <v>0.41492307692307689</v>
      </c>
      <c r="G104" s="2900">
        <f>1.0788/G101</f>
        <v>0.41492307692307689</v>
      </c>
      <c r="H104" s="2900">
        <f>1.0788/H101</f>
        <v>0.41492307692307689</v>
      </c>
      <c r="I104" s="2900">
        <f>1.0788/I101</f>
        <v>0.41492307692307689</v>
      </c>
      <c r="J104" s="2900">
        <f>1.0072/J101</f>
        <v>0.38738461538461538</v>
      </c>
      <c r="K104" s="2900">
        <f>1.0072/K101</f>
        <v>0.38738461538461538</v>
      </c>
      <c r="L104" s="2900">
        <f>1.0072/L101</f>
        <v>0.38738461538461538</v>
      </c>
      <c r="M104" s="2900">
        <f>1.0072/M101</f>
        <v>0.38738461538461538</v>
      </c>
      <c r="N104" s="2900">
        <f>1.0072/N101</f>
        <v>0.38738461538461538</v>
      </c>
    </row>
    <row r="105" spans="1:14">
      <c r="A105" s="3237"/>
      <c r="B105" s="2899">
        <v>4</v>
      </c>
      <c r="C105" s="2900">
        <f>0.9622/C101</f>
        <v>0.37007692307692308</v>
      </c>
      <c r="D105" s="2900">
        <f>0.9622/D101</f>
        <v>0.37007692307692308</v>
      </c>
      <c r="E105" s="2900">
        <f>0.8656/E101</f>
        <v>0.33292307692307693</v>
      </c>
      <c r="F105" s="2900">
        <f>0.8656/F101</f>
        <v>0.33292307692307693</v>
      </c>
      <c r="G105" s="2900">
        <f>0.8656/G101</f>
        <v>0.33292307692307693</v>
      </c>
      <c r="H105" s="2900">
        <f>0.8656/H101</f>
        <v>0.33292307692307693</v>
      </c>
      <c r="I105" s="2900">
        <f>0.8656/I101</f>
        <v>0.33292307692307693</v>
      </c>
      <c r="J105" s="2900">
        <f>0.7525/J101</f>
        <v>0.28942307692307689</v>
      </c>
      <c r="K105" s="2900">
        <f>0.7525/K101</f>
        <v>0.28942307692307689</v>
      </c>
      <c r="L105" s="2900">
        <f>0.7525/L101</f>
        <v>0.28942307692307689</v>
      </c>
      <c r="M105" s="2900">
        <f>0.7525/M101</f>
        <v>0.28942307692307689</v>
      </c>
      <c r="N105" s="2900">
        <f>0.7525/N101</f>
        <v>0.28942307692307689</v>
      </c>
    </row>
    <row r="106" spans="1:14">
      <c r="A106" s="3237"/>
      <c r="B106" s="2899">
        <v>5</v>
      </c>
      <c r="C106" s="2900">
        <f>0.8417/C101</f>
        <v>0.32373076923076921</v>
      </c>
      <c r="D106" s="2900">
        <f>0.8417/D101</f>
        <v>0.32373076923076921</v>
      </c>
      <c r="E106" s="2900">
        <f>0.7371/E101</f>
        <v>0.28349999999999997</v>
      </c>
      <c r="F106" s="2900">
        <f>0.7371/F101</f>
        <v>0.28349999999999997</v>
      </c>
      <c r="G106" s="2900">
        <f>0.7371/G101</f>
        <v>0.28349999999999997</v>
      </c>
      <c r="H106" s="2900">
        <f>0.7371/H101</f>
        <v>0.28349999999999997</v>
      </c>
      <c r="I106" s="2900">
        <f>0.7371/I101</f>
        <v>0.28349999999999997</v>
      </c>
      <c r="J106" s="2900">
        <f>0.5659/J101</f>
        <v>0.21765384615384614</v>
      </c>
      <c r="K106" s="2900">
        <f>0.5659/K101</f>
        <v>0.21765384615384614</v>
      </c>
      <c r="L106" s="2900">
        <f>0.5659/L101</f>
        <v>0.21765384615384614</v>
      </c>
      <c r="M106" s="2900">
        <f>0.5659/M101</f>
        <v>0.21765384615384614</v>
      </c>
      <c r="N106" s="2900">
        <f>0.5659/N101</f>
        <v>0.21765384615384614</v>
      </c>
    </row>
    <row r="107" spans="1:14">
      <c r="A107" s="3237"/>
      <c r="B107" s="2899">
        <v>6</v>
      </c>
      <c r="C107" s="2900">
        <f>0.7608/C101</f>
        <v>0.29261538461538461</v>
      </c>
      <c r="D107" s="2900">
        <f>0.7608/D101</f>
        <v>0.29261538461538461</v>
      </c>
      <c r="E107" s="2900">
        <f>0.6482/E101</f>
        <v>0.24930769230769229</v>
      </c>
      <c r="F107" s="2900">
        <f>0.6482/F101</f>
        <v>0.24930769230769229</v>
      </c>
      <c r="G107" s="2900">
        <f>0.6482/G101</f>
        <v>0.24930769230769229</v>
      </c>
      <c r="H107" s="2900">
        <f>0.6482/H101</f>
        <v>0.24930769230769229</v>
      </c>
      <c r="I107" s="2900">
        <f>0.6482/I101</f>
        <v>0.24930769230769229</v>
      </c>
      <c r="J107" s="2900">
        <f>0.4525/J101</f>
        <v>0.17403846153846153</v>
      </c>
      <c r="K107" s="2900">
        <f>0.4525/K101</f>
        <v>0.17403846153846153</v>
      </c>
      <c r="L107" s="2900">
        <f>0.4525/L101</f>
        <v>0.17403846153846153</v>
      </c>
      <c r="M107" s="2900">
        <f>0.4525/M101</f>
        <v>0.17403846153846153</v>
      </c>
      <c r="N107" s="2900">
        <f>0.4525/N101</f>
        <v>0.17403846153846153</v>
      </c>
    </row>
    <row r="108" spans="1:14">
      <c r="A108" s="3237"/>
      <c r="B108" s="3065" t="s">
        <v>2979</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38"/>
      <c r="B109" s="3066"/>
      <c r="C109" s="2902">
        <f>(-0.163*(C108^2)-0.59*C108+7617)*(10^(-4))/C101</f>
        <v>0.2929615384615385</v>
      </c>
      <c r="D109" s="2902">
        <f>(-0.163*(D108^2)-0.59*D108+7617)*(10^(-4))/D101</f>
        <v>0.2929615384615385</v>
      </c>
      <c r="E109" s="2902">
        <f>(-0.161*(E108^2)-7.509*E108+6533)*(10^(-4))/E101</f>
        <v>0.25126923076923074</v>
      </c>
      <c r="F109" s="2902">
        <f>(-0.161*(F108^2)-7.509*F108+6533)*(10^(-4))/F101</f>
        <v>0.25126923076923074</v>
      </c>
      <c r="G109" s="2902">
        <f>(-0.161*(G108^2)-7.509*G108+6533)*(10^(-4))/G101</f>
        <v>0.25126923076923074</v>
      </c>
      <c r="H109" s="2902">
        <f>(-0.161*(H108^2)-7.509*H108+6533)*(10^(-4))/H101</f>
        <v>0.25126923076923074</v>
      </c>
      <c r="I109" s="2902">
        <f>(-0.161*(I108^2)-7.509*I108+6533)*(10^(-4))/I101</f>
        <v>0.25126923076923074</v>
      </c>
      <c r="J109" s="2902">
        <f>(-0.214*(J108^2)-21.991*J108+4665)*(10^(-4))/J101</f>
        <v>0.17942307692307694</v>
      </c>
      <c r="K109" s="2902">
        <f>(-0.214*(K108^2)-21.991*K108+4665)*(10^(-4))/K101</f>
        <v>0.17942307692307694</v>
      </c>
      <c r="L109" s="2902">
        <f>(-0.214*(L108^2)-21.991*L108+4665)*(10^(-4))/L101</f>
        <v>0.17942307692307694</v>
      </c>
      <c r="M109" s="2902">
        <f>(-0.214*(M108^2)-21.991*M108+4665)*(10^(-4))/M101</f>
        <v>0.17942307692307694</v>
      </c>
      <c r="N109" s="2902">
        <f>(-0.214*(N108^2)-21.991*N108+4665)*(10^(-4))/N101</f>
        <v>0.17942307692307694</v>
      </c>
    </row>
    <row r="110" spans="1:14">
      <c r="A110" s="3234" t="s">
        <v>2980</v>
      </c>
      <c r="B110" s="3234"/>
      <c r="C110" s="3234"/>
      <c r="D110" s="3234"/>
      <c r="E110" s="3234"/>
      <c r="F110" s="3234"/>
      <c r="G110" s="3234"/>
      <c r="H110" s="3234"/>
      <c r="I110" s="3234"/>
      <c r="J110" s="3234"/>
      <c r="K110" s="2905"/>
      <c r="L110" s="2905"/>
      <c r="M110" s="2905"/>
      <c r="N110" s="2905"/>
    </row>
    <row r="112" spans="1:14" ht="13.8" thickBot="1"/>
    <row r="113" spans="1:13" ht="25.8" thickBot="1">
      <c r="A113" s="903" t="s">
        <v>2981</v>
      </c>
      <c r="B113" s="1290">
        <f>G3</f>
        <v>2.6</v>
      </c>
      <c r="C113" s="904" t="s">
        <v>2982</v>
      </c>
      <c r="D113" s="905">
        <f>SUMPRODUCT((A115:A118=F113)*(B114:M114=H113)*B115:M118)</f>
        <v>0.82289999999999996</v>
      </c>
      <c r="E113" s="2728" t="s">
        <v>2815</v>
      </c>
      <c r="F113" s="2907" t="str">
        <f>E2</f>
        <v>办公</v>
      </c>
      <c r="G113" s="2728" t="s">
        <v>2816</v>
      </c>
      <c r="H113" s="2907" t="str">
        <f>G2</f>
        <v>四级</v>
      </c>
      <c r="I113" s="2728"/>
      <c r="J113" s="2908"/>
      <c r="K113" s="2908"/>
      <c r="L113" s="2908"/>
      <c r="M113" s="2908"/>
    </row>
    <row r="114" spans="1:13">
      <c r="A114" s="908"/>
      <c r="B114" s="2909" t="s">
        <v>2983</v>
      </c>
      <c r="C114" s="2909" t="s">
        <v>2984</v>
      </c>
      <c r="D114" s="2909" t="s">
        <v>2985</v>
      </c>
      <c r="E114" s="2910" t="s">
        <v>2986</v>
      </c>
      <c r="F114" s="2910" t="s">
        <v>2987</v>
      </c>
      <c r="G114" s="2910" t="s">
        <v>2988</v>
      </c>
      <c r="H114" s="2911" t="s">
        <v>2989</v>
      </c>
      <c r="I114" s="2911" t="s">
        <v>2990</v>
      </c>
      <c r="J114" s="2912" t="s">
        <v>2991</v>
      </c>
      <c r="K114" s="2912" t="s">
        <v>2992</v>
      </c>
      <c r="L114" s="2912" t="s">
        <v>2993</v>
      </c>
      <c r="M114" s="2913" t="s">
        <v>2994</v>
      </c>
    </row>
    <row r="115" spans="1:13">
      <c r="A115" s="909" t="s">
        <v>2879</v>
      </c>
      <c r="B115" s="910">
        <f>ROUND(0.9335-0.0094*B113,4)</f>
        <v>0.90910000000000002</v>
      </c>
      <c r="C115" s="910">
        <f>B115</f>
        <v>0.90910000000000002</v>
      </c>
      <c r="D115" s="910">
        <f>ROUND(0.8331-0.0109*B113,4)</f>
        <v>0.80479999999999996</v>
      </c>
      <c r="E115" s="910">
        <f>D115</f>
        <v>0.80479999999999996</v>
      </c>
      <c r="F115" s="910">
        <f>E115</f>
        <v>0.80479999999999996</v>
      </c>
      <c r="G115" s="910">
        <f>F115</f>
        <v>0.80479999999999996</v>
      </c>
      <c r="H115" s="910">
        <f>G115</f>
        <v>0.80479999999999996</v>
      </c>
      <c r="I115" s="910">
        <f>ROUND(0.689-0.0155*B113,4)</f>
        <v>0.64870000000000005</v>
      </c>
      <c r="J115" s="910">
        <f t="shared" ref="J115:M118" si="33">I115</f>
        <v>0.64870000000000005</v>
      </c>
      <c r="K115" s="910">
        <f t="shared" si="33"/>
        <v>0.64870000000000005</v>
      </c>
      <c r="L115" s="910">
        <f t="shared" si="33"/>
        <v>0.64870000000000005</v>
      </c>
      <c r="M115" s="911">
        <f t="shared" si="33"/>
        <v>0.64870000000000005</v>
      </c>
    </row>
    <row r="116" spans="1:13">
      <c r="A116" s="909" t="s">
        <v>2880</v>
      </c>
      <c r="B116" s="910">
        <f>ROUND(0.949-0.012*B113,4)</f>
        <v>0.91779999999999995</v>
      </c>
      <c r="C116" s="910">
        <f>B116</f>
        <v>0.91779999999999995</v>
      </c>
      <c r="D116" s="910">
        <f>ROUND(0.8567-0.013*B113,4)</f>
        <v>0.82289999999999996</v>
      </c>
      <c r="E116" s="910">
        <f t="shared" ref="E116:H117" si="34">D116</f>
        <v>0.82289999999999996</v>
      </c>
      <c r="F116" s="910">
        <f t="shared" si="34"/>
        <v>0.82289999999999996</v>
      </c>
      <c r="G116" s="910">
        <f t="shared" si="34"/>
        <v>0.82289999999999996</v>
      </c>
      <c r="H116" s="910">
        <f t="shared" si="34"/>
        <v>0.82289999999999996</v>
      </c>
      <c r="I116" s="910">
        <f>ROUND(0.7694-0.014*B113,4)</f>
        <v>0.73299999999999998</v>
      </c>
      <c r="J116" s="910">
        <f t="shared" si="33"/>
        <v>0.73299999999999998</v>
      </c>
      <c r="K116" s="910">
        <f t="shared" si="33"/>
        <v>0.73299999999999998</v>
      </c>
      <c r="L116" s="910">
        <f t="shared" si="33"/>
        <v>0.73299999999999998</v>
      </c>
      <c r="M116" s="911">
        <f t="shared" si="33"/>
        <v>0.73299999999999998</v>
      </c>
    </row>
    <row r="117" spans="1:13">
      <c r="A117" s="909" t="s">
        <v>2881</v>
      </c>
      <c r="B117" s="910">
        <f>ROUND(0.8808-0.006*B113,4)</f>
        <v>0.86519999999999997</v>
      </c>
      <c r="C117" s="910">
        <f>B117</f>
        <v>0.86519999999999997</v>
      </c>
      <c r="D117" s="910">
        <f>ROUND(0.8748-0.008*B113,4)</f>
        <v>0.85399999999999998</v>
      </c>
      <c r="E117" s="910">
        <f t="shared" si="34"/>
        <v>0.85399999999999998</v>
      </c>
      <c r="F117" s="910">
        <f t="shared" si="34"/>
        <v>0.85399999999999998</v>
      </c>
      <c r="G117" s="910">
        <f t="shared" si="34"/>
        <v>0.85399999999999998</v>
      </c>
      <c r="H117" s="910">
        <f t="shared" si="34"/>
        <v>0.85399999999999998</v>
      </c>
      <c r="I117" s="910">
        <f>ROUND(0.7412-0.0095*B113,4)</f>
        <v>0.71650000000000003</v>
      </c>
      <c r="J117" s="910">
        <f t="shared" si="33"/>
        <v>0.71650000000000003</v>
      </c>
      <c r="K117" s="910">
        <f t="shared" si="33"/>
        <v>0.71650000000000003</v>
      </c>
      <c r="L117" s="910">
        <f t="shared" si="33"/>
        <v>0.71650000000000003</v>
      </c>
      <c r="M117" s="911">
        <f t="shared" si="33"/>
        <v>0.71650000000000003</v>
      </c>
    </row>
    <row r="118" spans="1:13" ht="13.8" thickBot="1">
      <c r="A118" s="714" t="s">
        <v>2882</v>
      </c>
      <c r="B118" s="912">
        <f>ROUND(0.7275-0.01*B113,4)</f>
        <v>0.70150000000000001</v>
      </c>
      <c r="C118" s="912">
        <f>B118</f>
        <v>0.70150000000000001</v>
      </c>
      <c r="D118" s="912">
        <f>ROUND(0.7043-0.012*B113,4)</f>
        <v>0.67310000000000003</v>
      </c>
      <c r="E118" s="912">
        <f>D118</f>
        <v>0.67310000000000003</v>
      </c>
      <c r="F118" s="912">
        <f>E118</f>
        <v>0.67310000000000003</v>
      </c>
      <c r="G118" s="912">
        <f>ROUND(0.6299-0.0122*B113,4)</f>
        <v>0.59819999999999995</v>
      </c>
      <c r="H118" s="912">
        <f>G118</f>
        <v>0.59819999999999995</v>
      </c>
      <c r="I118" s="912">
        <f>ROUND(0.5667-0.0136*B113,4)</f>
        <v>0.53129999999999999</v>
      </c>
      <c r="J118" s="912">
        <f t="shared" si="33"/>
        <v>0.53129999999999999</v>
      </c>
      <c r="K118" s="912">
        <f t="shared" si="33"/>
        <v>0.53129999999999999</v>
      </c>
      <c r="L118" s="912">
        <f t="shared" si="33"/>
        <v>0.53129999999999999</v>
      </c>
      <c r="M118" s="913">
        <f t="shared" si="33"/>
        <v>0.53129999999999999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0:R12"/>
  <sheetViews>
    <sheetView workbookViewId="0">
      <selection activeCell="R12" sqref="R12"/>
    </sheetView>
  </sheetViews>
  <sheetFormatPr defaultRowHeight="14.4"/>
  <sheetData>
    <row r="10" spans="17:18">
      <c r="Q10">
        <f>'数据-汇总表'!F19</f>
        <v>4531.2000000000007</v>
      </c>
      <c r="R10">
        <v>5</v>
      </c>
    </row>
    <row r="11" spans="17:18">
      <c r="Q11">
        <f>'数据-汇总表'!G19</f>
        <v>3196.2</v>
      </c>
      <c r="R11">
        <v>2</v>
      </c>
    </row>
    <row r="12" spans="17:18">
      <c r="Q12">
        <f>Q10+Q11</f>
        <v>7727.4000000000005</v>
      </c>
      <c r="R12">
        <f>(Q10*R10+Q11*R11)/Q12</f>
        <v>3.7591427905893315</v>
      </c>
    </row>
  </sheetData>
  <phoneticPr fontId="14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1" t="s">
        <v>183</v>
      </c>
      <c r="B18" s="882" t="s">
        <v>560</v>
      </c>
      <c r="C18" s="883" t="s">
        <v>561</v>
      </c>
      <c r="D18" s="884"/>
      <c r="E18" s="882">
        <v>1</v>
      </c>
      <c r="F18" s="885" t="s">
        <v>562</v>
      </c>
      <c r="G18" s="886"/>
      <c r="H18" s="878"/>
      <c r="I18" s="878"/>
    </row>
    <row r="19" spans="1:9" s="887" customFormat="1" ht="19.5" customHeight="1">
      <c r="A19" s="3251"/>
      <c r="B19" s="3251" t="s">
        <v>563</v>
      </c>
      <c r="C19" s="883" t="s">
        <v>564</v>
      </c>
      <c r="D19" s="884"/>
      <c r="E19" s="882">
        <v>0.9</v>
      </c>
      <c r="F19" s="885" t="s">
        <v>565</v>
      </c>
      <c r="G19" s="886"/>
      <c r="H19" s="878"/>
      <c r="I19" s="878"/>
    </row>
    <row r="20" spans="1:9" s="887" customFormat="1" ht="19.5" customHeight="1">
      <c r="A20" s="3251"/>
      <c r="B20" s="3251"/>
      <c r="C20" s="883" t="s">
        <v>566</v>
      </c>
      <c r="D20" s="884"/>
      <c r="E20" s="882">
        <v>1.1000000000000001</v>
      </c>
      <c r="F20" s="885" t="s">
        <v>567</v>
      </c>
      <c r="G20" s="886"/>
      <c r="H20" s="878"/>
      <c r="I20" s="878"/>
    </row>
    <row r="21" spans="1:9" s="887" customFormat="1" ht="19.5" customHeight="1">
      <c r="A21" s="3251"/>
      <c r="B21" s="3251"/>
      <c r="C21" s="883" t="s">
        <v>568</v>
      </c>
      <c r="D21" s="884"/>
      <c r="E21" s="882">
        <v>0.8</v>
      </c>
      <c r="F21" s="885" t="s">
        <v>569</v>
      </c>
      <c r="G21" s="886"/>
      <c r="H21" s="878"/>
      <c r="I21" s="878"/>
    </row>
    <row r="22" spans="1:9" s="887" customFormat="1" ht="19.5" customHeight="1">
      <c r="A22" s="3251"/>
      <c r="B22" s="3251"/>
      <c r="C22" s="883" t="s">
        <v>570</v>
      </c>
      <c r="D22" s="884"/>
      <c r="E22" s="882">
        <v>0.5</v>
      </c>
      <c r="F22" s="885"/>
      <c r="G22" s="886"/>
      <c r="H22" s="878"/>
      <c r="I22" s="878"/>
    </row>
    <row r="23" spans="1:9" s="887" customFormat="1" ht="19.5" customHeight="1">
      <c r="A23" s="3251" t="s">
        <v>184</v>
      </c>
      <c r="B23" s="882" t="s">
        <v>560</v>
      </c>
      <c r="C23" s="883" t="s">
        <v>571</v>
      </c>
      <c r="D23" s="884"/>
      <c r="E23" s="882">
        <v>1</v>
      </c>
      <c r="F23" s="885" t="s">
        <v>572</v>
      </c>
      <c r="G23" s="886"/>
      <c r="H23" s="878"/>
      <c r="I23" s="878"/>
    </row>
    <row r="24" spans="1:9" s="887" customFormat="1" ht="19.5" customHeight="1">
      <c r="A24" s="3251"/>
      <c r="B24" s="3251" t="s">
        <v>563</v>
      </c>
      <c r="C24" s="883" t="s">
        <v>573</v>
      </c>
      <c r="D24" s="884"/>
      <c r="E24" s="882">
        <v>0.5</v>
      </c>
      <c r="F24" s="885"/>
      <c r="G24" s="886"/>
      <c r="H24" s="878"/>
      <c r="I24" s="878"/>
    </row>
    <row r="25" spans="1:9" s="887" customFormat="1" ht="19.5" customHeight="1">
      <c r="A25" s="3251"/>
      <c r="B25" s="3251"/>
      <c r="C25" s="883" t="s">
        <v>574</v>
      </c>
      <c r="D25" s="884"/>
      <c r="E25" s="882">
        <v>1.1000000000000001</v>
      </c>
      <c r="F25" s="885"/>
      <c r="G25" s="886"/>
      <c r="H25" s="878"/>
      <c r="I25" s="878"/>
    </row>
    <row r="26" spans="1:9" s="887" customFormat="1" ht="19.5" customHeight="1">
      <c r="A26" s="3251"/>
      <c r="B26" s="3251"/>
      <c r="C26" s="883" t="s">
        <v>575</v>
      </c>
      <c r="D26" s="884"/>
      <c r="E26" s="882">
        <v>1.1000000000000001</v>
      </c>
      <c r="F26" s="885"/>
      <c r="G26" s="886"/>
      <c r="H26" s="878"/>
      <c r="I26" s="878"/>
    </row>
    <row r="27" spans="1:9" s="887" customFormat="1" ht="19.5" customHeight="1">
      <c r="A27" s="3251"/>
      <c r="B27" s="3251"/>
      <c r="C27" s="883" t="s">
        <v>576</v>
      </c>
      <c r="D27" s="884"/>
      <c r="E27" s="882">
        <v>0.9</v>
      </c>
      <c r="F27" s="885" t="s">
        <v>577</v>
      </c>
      <c r="G27" s="886"/>
      <c r="H27" s="878"/>
      <c r="I27" s="878"/>
    </row>
    <row r="28" spans="1:9" s="887" customFormat="1" ht="19.5" customHeight="1">
      <c r="A28" s="3251"/>
      <c r="B28" s="3251"/>
      <c r="C28" s="883" t="s">
        <v>578</v>
      </c>
      <c r="D28" s="884"/>
      <c r="E28" s="882">
        <v>0.9</v>
      </c>
      <c r="F28" s="885" t="s">
        <v>579</v>
      </c>
      <c r="G28" s="886"/>
      <c r="H28" s="878"/>
      <c r="I28" s="878"/>
    </row>
    <row r="29" spans="1:9" s="887" customFormat="1" ht="19.5" customHeight="1">
      <c r="A29" s="3251"/>
      <c r="B29" s="3251"/>
      <c r="C29" s="883" t="s">
        <v>580</v>
      </c>
      <c r="D29" s="884"/>
      <c r="E29" s="882">
        <v>0.9</v>
      </c>
      <c r="F29" s="885" t="s">
        <v>581</v>
      </c>
      <c r="G29" s="886"/>
      <c r="H29" s="878"/>
      <c r="I29" s="878"/>
    </row>
    <row r="30" spans="1:9" s="887" customFormat="1" ht="19.5" customHeight="1">
      <c r="A30" s="3251"/>
      <c r="B30" s="3251"/>
      <c r="C30" s="883" t="s">
        <v>582</v>
      </c>
      <c r="D30" s="884"/>
      <c r="E30" s="882">
        <v>0.9</v>
      </c>
      <c r="F30" s="885" t="s">
        <v>583</v>
      </c>
      <c r="G30" s="886"/>
      <c r="H30" s="878"/>
      <c r="I30" s="878"/>
    </row>
    <row r="31" spans="1:9" s="887" customFormat="1" ht="19.5" customHeight="1">
      <c r="A31" s="3251"/>
      <c r="B31" s="3251"/>
      <c r="C31" s="883" t="s">
        <v>584</v>
      </c>
      <c r="D31" s="884"/>
      <c r="E31" s="882">
        <v>0.8</v>
      </c>
      <c r="F31" s="885" t="s">
        <v>585</v>
      </c>
      <c r="G31" s="886"/>
      <c r="H31" s="878"/>
      <c r="I31" s="878"/>
    </row>
    <row r="32" spans="1:9" s="887" customFormat="1" ht="19.5" customHeight="1">
      <c r="A32" s="3251"/>
      <c r="B32" s="3251"/>
      <c r="C32" s="883" t="s">
        <v>586</v>
      </c>
      <c r="D32" s="884"/>
      <c r="E32" s="882">
        <v>0.8</v>
      </c>
      <c r="F32" s="885" t="s">
        <v>587</v>
      </c>
      <c r="G32" s="886"/>
      <c r="H32" s="878"/>
      <c r="I32" s="878"/>
    </row>
    <row r="33" spans="1:9" s="887" customFormat="1" ht="19.5" customHeight="1">
      <c r="A33" s="3251" t="s">
        <v>185</v>
      </c>
      <c r="B33" s="882" t="s">
        <v>560</v>
      </c>
      <c r="C33" s="883" t="s">
        <v>588</v>
      </c>
      <c r="D33" s="884"/>
      <c r="E33" s="882">
        <v>1</v>
      </c>
      <c r="F33" s="885" t="s">
        <v>589</v>
      </c>
      <c r="G33" s="886"/>
      <c r="H33" s="878"/>
      <c r="I33" s="878"/>
    </row>
    <row r="34" spans="1:9" s="887" customFormat="1" ht="19.5" customHeight="1">
      <c r="A34" s="3251"/>
      <c r="B34" s="882" t="s">
        <v>563</v>
      </c>
      <c r="C34" s="883" t="s">
        <v>590</v>
      </c>
      <c r="D34" s="884"/>
      <c r="E34" s="882">
        <v>1.5</v>
      </c>
      <c r="F34" s="885" t="s">
        <v>591</v>
      </c>
      <c r="G34" s="886"/>
      <c r="H34" s="878"/>
      <c r="I34" s="878"/>
    </row>
    <row r="35" spans="1:9" s="887" customFormat="1" ht="19.5" customHeight="1">
      <c r="A35" s="3251" t="s">
        <v>186</v>
      </c>
      <c r="B35" s="882" t="s">
        <v>560</v>
      </c>
      <c r="C35" s="883" t="s">
        <v>592</v>
      </c>
      <c r="D35" s="884"/>
      <c r="E35" s="882">
        <v>1</v>
      </c>
      <c r="F35" s="885" t="s">
        <v>593</v>
      </c>
      <c r="G35" s="886"/>
      <c r="H35" s="878"/>
      <c r="I35" s="878"/>
    </row>
    <row r="36" spans="1:9" s="887" customFormat="1" ht="19.5" customHeight="1">
      <c r="A36" s="3251"/>
      <c r="B36" s="3251" t="s">
        <v>563</v>
      </c>
      <c r="C36" s="883" t="s">
        <v>594</v>
      </c>
      <c r="D36" s="884"/>
      <c r="E36" s="882">
        <v>1</v>
      </c>
      <c r="F36" s="885" t="s">
        <v>595</v>
      </c>
      <c r="G36" s="886"/>
      <c r="H36" s="878"/>
      <c r="I36" s="878"/>
    </row>
    <row r="37" spans="1:9" s="887" customFormat="1" ht="19.5" customHeight="1">
      <c r="A37" s="3251"/>
      <c r="B37" s="3251"/>
      <c r="C37" s="883" t="s">
        <v>596</v>
      </c>
      <c r="D37" s="884"/>
      <c r="E37" s="882">
        <v>1.5</v>
      </c>
      <c r="F37" s="885" t="s">
        <v>597</v>
      </c>
      <c r="G37" s="886"/>
      <c r="H37" s="878"/>
      <c r="I37" s="878"/>
    </row>
    <row r="38" spans="1:9" s="887" customFormat="1" ht="19.5" customHeight="1">
      <c r="A38" s="3251"/>
      <c r="B38" s="3251"/>
      <c r="C38" s="883" t="s">
        <v>598</v>
      </c>
      <c r="D38" s="884"/>
      <c r="E38" s="882">
        <v>1</v>
      </c>
      <c r="F38" s="885" t="s">
        <v>599</v>
      </c>
      <c r="G38" s="886"/>
      <c r="H38" s="878"/>
      <c r="I38" s="878"/>
    </row>
    <row r="39" spans="1:9" s="887" customFormat="1" ht="19.5" customHeight="1">
      <c r="A39" s="3251"/>
      <c r="B39" s="325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51" t="s">
        <v>614</v>
      </c>
      <c r="C61" s="818" t="s">
        <v>615</v>
      </c>
      <c r="D61" s="818" t="s">
        <v>616</v>
      </c>
      <c r="E61" s="895">
        <v>0.5</v>
      </c>
      <c r="F61" s="882">
        <v>80</v>
      </c>
    </row>
    <row r="62" spans="1:8" s="878" customFormat="1" ht="36">
      <c r="A62" s="882">
        <v>2</v>
      </c>
      <c r="B62" s="3251"/>
      <c r="C62" s="818" t="s">
        <v>617</v>
      </c>
      <c r="D62" s="818" t="s">
        <v>618</v>
      </c>
      <c r="E62" s="895">
        <v>0.5</v>
      </c>
      <c r="F62" s="882">
        <v>80</v>
      </c>
    </row>
    <row r="63" spans="1:8" s="878" customFormat="1" ht="48">
      <c r="A63" s="882">
        <v>3</v>
      </c>
      <c r="B63" s="3251"/>
      <c r="C63" s="818" t="s">
        <v>619</v>
      </c>
      <c r="D63" s="818" t="s">
        <v>620</v>
      </c>
      <c r="E63" s="895">
        <v>0.5</v>
      </c>
      <c r="F63" s="882">
        <v>80</v>
      </c>
    </row>
    <row r="64" spans="1:8" s="878" customFormat="1" ht="48">
      <c r="A64" s="882">
        <v>4</v>
      </c>
      <c r="B64" s="3251"/>
      <c r="C64" s="818" t="s">
        <v>621</v>
      </c>
      <c r="D64" s="818" t="s">
        <v>622</v>
      </c>
      <c r="E64" s="895">
        <v>0.4</v>
      </c>
      <c r="F64" s="882">
        <v>60</v>
      </c>
    </row>
    <row r="65" spans="1:6" s="878" customFormat="1" ht="48">
      <c r="A65" s="882">
        <v>5</v>
      </c>
      <c r="B65" s="3251"/>
      <c r="C65" s="818" t="s">
        <v>623</v>
      </c>
      <c r="D65" s="818" t="s">
        <v>624</v>
      </c>
      <c r="E65" s="895">
        <v>0.2</v>
      </c>
      <c r="F65" s="882">
        <v>30</v>
      </c>
    </row>
    <row r="66" spans="1:6" s="878" customFormat="1" ht="48">
      <c r="A66" s="882">
        <v>6</v>
      </c>
      <c r="B66" s="3251"/>
      <c r="C66" s="818" t="s">
        <v>625</v>
      </c>
      <c r="D66" s="818" t="s">
        <v>626</v>
      </c>
      <c r="E66" s="895">
        <v>0.3</v>
      </c>
      <c r="F66" s="882">
        <v>50</v>
      </c>
    </row>
    <row r="67" spans="1:6" s="878" customFormat="1" ht="48">
      <c r="A67" s="882">
        <v>7</v>
      </c>
      <c r="B67" s="3251"/>
      <c r="C67" s="818" t="s">
        <v>627</v>
      </c>
      <c r="D67" s="818" t="s">
        <v>628</v>
      </c>
      <c r="E67" s="895">
        <v>0.2</v>
      </c>
      <c r="F67" s="882">
        <v>30</v>
      </c>
    </row>
    <row r="68" spans="1:6" s="878" customFormat="1" ht="48">
      <c r="A68" s="882">
        <v>8</v>
      </c>
      <c r="B68" s="3251"/>
      <c r="C68" s="818" t="s">
        <v>629</v>
      </c>
      <c r="D68" s="818" t="s">
        <v>630</v>
      </c>
      <c r="E68" s="895">
        <v>0.2</v>
      </c>
      <c r="F68" s="882">
        <v>30</v>
      </c>
    </row>
    <row r="69" spans="1:6" s="878" customFormat="1" ht="48">
      <c r="A69" s="882">
        <v>9</v>
      </c>
      <c r="B69" s="3251"/>
      <c r="C69" s="818" t="s">
        <v>631</v>
      </c>
      <c r="D69" s="818" t="s">
        <v>632</v>
      </c>
      <c r="E69" s="895">
        <v>0.2</v>
      </c>
      <c r="F69" s="882">
        <v>30</v>
      </c>
    </row>
    <row r="70" spans="1:6" s="878" customFormat="1" ht="60">
      <c r="A70" s="882">
        <v>10</v>
      </c>
      <c r="B70" s="3251"/>
      <c r="C70" s="818" t="s">
        <v>633</v>
      </c>
      <c r="D70" s="818" t="s">
        <v>634</v>
      </c>
      <c r="E70" s="895">
        <v>0.2</v>
      </c>
      <c r="F70" s="882">
        <v>30</v>
      </c>
    </row>
    <row r="71" spans="1:6" s="878" customFormat="1" ht="60">
      <c r="A71" s="882">
        <v>11</v>
      </c>
      <c r="B71" s="3251"/>
      <c r="C71" s="818" t="s">
        <v>635</v>
      </c>
      <c r="D71" s="818" t="s">
        <v>636</v>
      </c>
      <c r="E71" s="895">
        <v>0.2</v>
      </c>
      <c r="F71" s="882">
        <v>30</v>
      </c>
    </row>
    <row r="72" spans="1:6" s="878" customFormat="1" ht="36">
      <c r="A72" s="882">
        <v>12</v>
      </c>
      <c r="B72" s="3251"/>
      <c r="C72" s="818" t="s">
        <v>637</v>
      </c>
      <c r="D72" s="818" t="s">
        <v>638</v>
      </c>
      <c r="E72" s="895">
        <v>0.5</v>
      </c>
      <c r="F72" s="882">
        <v>80</v>
      </c>
    </row>
    <row r="73" spans="1:6" s="878" customFormat="1" ht="36">
      <c r="A73" s="882">
        <v>13</v>
      </c>
      <c r="B73" s="3251"/>
      <c r="C73" s="818" t="s">
        <v>639</v>
      </c>
      <c r="D73" s="818" t="s">
        <v>640</v>
      </c>
      <c r="E73" s="895">
        <v>0.4</v>
      </c>
      <c r="F73" s="882">
        <v>60</v>
      </c>
    </row>
    <row r="74" spans="1:6" s="878" customFormat="1" ht="36">
      <c r="A74" s="882">
        <v>14</v>
      </c>
      <c r="B74" s="3251"/>
      <c r="C74" s="818" t="s">
        <v>641</v>
      </c>
      <c r="D74" s="818" t="s">
        <v>642</v>
      </c>
      <c r="E74" s="895">
        <v>0.2</v>
      </c>
      <c r="F74" s="882">
        <v>30</v>
      </c>
    </row>
    <row r="75" spans="1:6" s="878" customFormat="1" ht="36">
      <c r="A75" s="882">
        <v>15</v>
      </c>
      <c r="B75" s="3251"/>
      <c r="C75" s="818" t="s">
        <v>643</v>
      </c>
      <c r="D75" s="818" t="s">
        <v>644</v>
      </c>
      <c r="E75" s="895">
        <v>0.2</v>
      </c>
      <c r="F75" s="882">
        <v>30</v>
      </c>
    </row>
    <row r="76" spans="1:6" s="878" customFormat="1" ht="36">
      <c r="A76" s="882">
        <v>16</v>
      </c>
      <c r="B76" s="3251" t="s">
        <v>645</v>
      </c>
      <c r="C76" s="818" t="s">
        <v>646</v>
      </c>
      <c r="D76" s="818" t="s">
        <v>647</v>
      </c>
      <c r="E76" s="895">
        <v>0.5</v>
      </c>
      <c r="F76" s="882">
        <v>80</v>
      </c>
    </row>
    <row r="77" spans="1:6" s="878" customFormat="1" ht="36">
      <c r="A77" s="882">
        <v>17</v>
      </c>
      <c r="B77" s="3251"/>
      <c r="C77" s="818" t="s">
        <v>648</v>
      </c>
      <c r="D77" s="818" t="s">
        <v>649</v>
      </c>
      <c r="E77" s="895">
        <v>0.5</v>
      </c>
      <c r="F77" s="882">
        <v>80</v>
      </c>
    </row>
    <row r="78" spans="1:6" s="878" customFormat="1" ht="36">
      <c r="A78" s="882">
        <v>18</v>
      </c>
      <c r="B78" s="3251"/>
      <c r="C78" s="818" t="s">
        <v>650</v>
      </c>
      <c r="D78" s="818" t="s">
        <v>651</v>
      </c>
      <c r="E78" s="895">
        <v>0.2</v>
      </c>
      <c r="F78" s="882">
        <v>30</v>
      </c>
    </row>
    <row r="79" spans="1:6" s="878" customFormat="1" ht="36">
      <c r="A79" s="882">
        <v>19</v>
      </c>
      <c r="B79" s="3251"/>
      <c r="C79" s="818" t="s">
        <v>652</v>
      </c>
      <c r="D79" s="818" t="s">
        <v>653</v>
      </c>
      <c r="E79" s="895">
        <v>0.5</v>
      </c>
      <c r="F79" s="882">
        <v>80</v>
      </c>
    </row>
    <row r="80" spans="1:6" s="878" customFormat="1" ht="36">
      <c r="A80" s="882">
        <v>20</v>
      </c>
      <c r="B80" s="3251"/>
      <c r="C80" s="818" t="s">
        <v>654</v>
      </c>
      <c r="D80" s="818" t="s">
        <v>655</v>
      </c>
      <c r="E80" s="895">
        <v>0.2</v>
      </c>
      <c r="F80" s="882">
        <v>30</v>
      </c>
    </row>
    <row r="81" spans="1:6" s="878" customFormat="1" ht="36">
      <c r="A81" s="882">
        <v>21</v>
      </c>
      <c r="B81" s="3251"/>
      <c r="C81" s="818" t="s">
        <v>656</v>
      </c>
      <c r="D81" s="818" t="s">
        <v>657</v>
      </c>
      <c r="E81" s="895">
        <v>0.2</v>
      </c>
      <c r="F81" s="882">
        <v>30</v>
      </c>
    </row>
    <row r="82" spans="1:6" s="878" customFormat="1" ht="60">
      <c r="A82" s="882">
        <v>22</v>
      </c>
      <c r="B82" s="3251"/>
      <c r="C82" s="818" t="s">
        <v>658</v>
      </c>
      <c r="D82" s="818" t="s">
        <v>659</v>
      </c>
      <c r="E82" s="895">
        <v>0.2</v>
      </c>
      <c r="F82" s="882">
        <v>30</v>
      </c>
    </row>
    <row r="83" spans="1:6" s="878" customFormat="1" ht="60">
      <c r="A83" s="882">
        <v>23</v>
      </c>
      <c r="B83" s="3251"/>
      <c r="C83" s="818" t="s">
        <v>660</v>
      </c>
      <c r="D83" s="818" t="s">
        <v>661</v>
      </c>
      <c r="E83" s="895">
        <v>0.2</v>
      </c>
      <c r="F83" s="882">
        <v>30</v>
      </c>
    </row>
    <row r="84" spans="1:6" s="878" customFormat="1" ht="48">
      <c r="A84" s="882">
        <v>24</v>
      </c>
      <c r="B84" s="3251"/>
      <c r="C84" s="818" t="s">
        <v>662</v>
      </c>
      <c r="D84" s="818" t="s">
        <v>663</v>
      </c>
      <c r="E84" s="895">
        <v>0.2</v>
      </c>
      <c r="F84" s="882">
        <v>30</v>
      </c>
    </row>
    <row r="85" spans="1:6" s="878" customFormat="1" ht="36">
      <c r="A85" s="882">
        <v>25</v>
      </c>
      <c r="B85" s="3251"/>
      <c r="C85" s="818" t="s">
        <v>664</v>
      </c>
      <c r="D85" s="818" t="s">
        <v>665</v>
      </c>
      <c r="E85" s="895">
        <v>0.5</v>
      </c>
      <c r="F85" s="882">
        <v>80</v>
      </c>
    </row>
    <row r="86" spans="1:6" s="878" customFormat="1" ht="36">
      <c r="A86" s="882">
        <v>26</v>
      </c>
      <c r="B86" s="3251"/>
      <c r="C86" s="818" t="s">
        <v>666</v>
      </c>
      <c r="D86" s="818" t="s">
        <v>667</v>
      </c>
      <c r="E86" s="895">
        <v>0.2</v>
      </c>
      <c r="F86" s="882">
        <v>30</v>
      </c>
    </row>
    <row r="87" spans="1:6" s="878" customFormat="1" ht="36">
      <c r="A87" s="882">
        <v>27</v>
      </c>
      <c r="B87" s="3251"/>
      <c r="C87" s="818" t="s">
        <v>668</v>
      </c>
      <c r="D87" s="818" t="s">
        <v>669</v>
      </c>
      <c r="E87" s="895">
        <v>0.2</v>
      </c>
      <c r="F87" s="882">
        <v>30</v>
      </c>
    </row>
    <row r="88" spans="1:6" s="878" customFormat="1" ht="36">
      <c r="A88" s="882">
        <v>28</v>
      </c>
      <c r="B88" s="3251"/>
      <c r="C88" s="818" t="s">
        <v>670</v>
      </c>
      <c r="D88" s="818" t="s">
        <v>671</v>
      </c>
      <c r="E88" s="895">
        <v>0.2</v>
      </c>
      <c r="F88" s="882">
        <v>30</v>
      </c>
    </row>
    <row r="89" spans="1:6" s="878" customFormat="1" ht="36">
      <c r="A89" s="882">
        <v>29</v>
      </c>
      <c r="B89" s="3251"/>
      <c r="C89" s="818" t="s">
        <v>672</v>
      </c>
      <c r="D89" s="818" t="s">
        <v>673</v>
      </c>
      <c r="E89" s="895">
        <v>0.2</v>
      </c>
      <c r="F89" s="882">
        <v>30</v>
      </c>
    </row>
    <row r="90" spans="1:6" s="878" customFormat="1" ht="36">
      <c r="A90" s="882">
        <v>30</v>
      </c>
      <c r="B90" s="3251"/>
      <c r="C90" s="818" t="s">
        <v>674</v>
      </c>
      <c r="D90" s="818" t="s">
        <v>675</v>
      </c>
      <c r="E90" s="895">
        <v>0.2</v>
      </c>
      <c r="F90" s="882">
        <v>30</v>
      </c>
    </row>
    <row r="91" spans="1:6" s="878" customFormat="1" ht="48">
      <c r="A91" s="882">
        <v>31</v>
      </c>
      <c r="B91" s="3251"/>
      <c r="C91" s="818" t="s">
        <v>676</v>
      </c>
      <c r="D91" s="818" t="s">
        <v>677</v>
      </c>
      <c r="E91" s="895">
        <v>0.2</v>
      </c>
      <c r="F91" s="882">
        <v>30</v>
      </c>
    </row>
    <row r="92" spans="1:6" s="878" customFormat="1" ht="36">
      <c r="A92" s="882">
        <v>32</v>
      </c>
      <c r="B92" s="3251" t="s">
        <v>678</v>
      </c>
      <c r="C92" s="882" t="s">
        <v>679</v>
      </c>
      <c r="D92" s="818" t="s">
        <v>680</v>
      </c>
      <c r="E92" s="895">
        <v>0.2</v>
      </c>
      <c r="F92" s="882">
        <v>30</v>
      </c>
    </row>
    <row r="93" spans="1:6" s="878" customFormat="1" ht="36">
      <c r="A93" s="882">
        <v>33</v>
      </c>
      <c r="B93" s="3251"/>
      <c r="C93" s="882" t="s">
        <v>681</v>
      </c>
      <c r="D93" s="818" t="s">
        <v>682</v>
      </c>
      <c r="E93" s="895">
        <v>0.2</v>
      </c>
      <c r="F93" s="882">
        <v>30</v>
      </c>
    </row>
    <row r="94" spans="1:6" s="878" customFormat="1" ht="60">
      <c r="A94" s="882">
        <v>34</v>
      </c>
      <c r="B94" s="3251"/>
      <c r="C94" s="882" t="s">
        <v>683</v>
      </c>
      <c r="D94" s="818" t="s">
        <v>684</v>
      </c>
      <c r="E94" s="895">
        <v>0.2</v>
      </c>
      <c r="F94" s="882">
        <v>30</v>
      </c>
    </row>
    <row r="95" spans="1:6" s="878" customFormat="1" ht="48">
      <c r="A95" s="882">
        <v>35</v>
      </c>
      <c r="B95" s="3251"/>
      <c r="C95" s="882" t="s">
        <v>685</v>
      </c>
      <c r="D95" s="818" t="s">
        <v>686</v>
      </c>
      <c r="E95" s="895">
        <v>0.2</v>
      </c>
      <c r="F95" s="882">
        <v>30</v>
      </c>
    </row>
    <row r="96" spans="1:6" s="878" customFormat="1" ht="72">
      <c r="A96" s="882">
        <v>36</v>
      </c>
      <c r="B96" s="3251"/>
      <c r="C96" s="818" t="s">
        <v>687</v>
      </c>
      <c r="D96" s="818" t="s">
        <v>688</v>
      </c>
      <c r="E96" s="895">
        <v>0.2</v>
      </c>
      <c r="F96" s="882">
        <v>30</v>
      </c>
    </row>
    <row r="97" spans="1:6" s="878" customFormat="1" ht="36">
      <c r="A97" s="882">
        <v>37</v>
      </c>
      <c r="B97" s="3251"/>
      <c r="C97" s="882" t="s">
        <v>689</v>
      </c>
      <c r="D97" s="818" t="s">
        <v>690</v>
      </c>
      <c r="E97" s="895">
        <v>0.2</v>
      </c>
      <c r="F97" s="882">
        <v>30</v>
      </c>
    </row>
    <row r="98" spans="1:6" s="878" customFormat="1" ht="36">
      <c r="A98" s="882">
        <v>38</v>
      </c>
      <c r="B98" s="3251"/>
      <c r="C98" s="882" t="s">
        <v>691</v>
      </c>
      <c r="D98" s="818" t="s">
        <v>692</v>
      </c>
      <c r="E98" s="895">
        <v>0.2</v>
      </c>
      <c r="F98" s="882">
        <v>30</v>
      </c>
    </row>
    <row r="99" spans="1:6" s="878" customFormat="1" ht="36">
      <c r="A99" s="882">
        <v>39</v>
      </c>
      <c r="B99" s="3251" t="s">
        <v>693</v>
      </c>
      <c r="C99" s="882" t="s">
        <v>694</v>
      </c>
      <c r="D99" s="818" t="s">
        <v>695</v>
      </c>
      <c r="E99" s="895">
        <v>0.3</v>
      </c>
      <c r="F99" s="882">
        <v>50</v>
      </c>
    </row>
    <row r="100" spans="1:6" s="878" customFormat="1" ht="36">
      <c r="A100" s="882">
        <v>40</v>
      </c>
      <c r="B100" s="3251"/>
      <c r="C100" s="882" t="s">
        <v>696</v>
      </c>
      <c r="D100" s="818" t="s">
        <v>697</v>
      </c>
      <c r="E100" s="895">
        <v>0.2</v>
      </c>
      <c r="F100" s="882">
        <v>30</v>
      </c>
    </row>
    <row r="101" spans="1:6" s="878" customFormat="1" ht="36">
      <c r="A101" s="882">
        <v>41</v>
      </c>
      <c r="B101" s="325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51" t="s">
        <v>708</v>
      </c>
      <c r="C105" s="882" t="s">
        <v>709</v>
      </c>
      <c r="D105" s="818" t="s">
        <v>710</v>
      </c>
      <c r="E105" s="895">
        <v>0.2</v>
      </c>
      <c r="F105" s="882">
        <v>30</v>
      </c>
    </row>
    <row r="106" spans="1:6" s="878" customFormat="1" ht="48">
      <c r="A106" s="882">
        <v>46</v>
      </c>
      <c r="B106" s="3251"/>
      <c r="C106" s="882" t="s">
        <v>711</v>
      </c>
      <c r="D106" s="818" t="s">
        <v>712</v>
      </c>
      <c r="E106" s="895">
        <v>0.2</v>
      </c>
      <c r="F106" s="882">
        <v>30</v>
      </c>
    </row>
    <row r="107" spans="1:6" s="878" customFormat="1" ht="36">
      <c r="A107" s="882">
        <v>47</v>
      </c>
      <c r="B107" s="3251" t="s">
        <v>713</v>
      </c>
      <c r="C107" s="882" t="s">
        <v>714</v>
      </c>
      <c r="D107" s="818" t="s">
        <v>715</v>
      </c>
      <c r="E107" s="895">
        <v>0.3</v>
      </c>
      <c r="F107" s="882">
        <v>50</v>
      </c>
    </row>
    <row r="108" spans="1:6" s="878" customFormat="1" ht="48">
      <c r="A108" s="882">
        <v>48</v>
      </c>
      <c r="B108" s="325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51" t="s">
        <v>724</v>
      </c>
      <c r="C111" s="882" t="s">
        <v>725</v>
      </c>
      <c r="D111" s="818" t="s">
        <v>726</v>
      </c>
      <c r="E111" s="895">
        <v>0.2</v>
      </c>
      <c r="F111" s="882">
        <v>30</v>
      </c>
    </row>
    <row r="112" spans="1:6" s="878" customFormat="1" ht="36">
      <c r="A112" s="882">
        <v>52</v>
      </c>
      <c r="B112" s="3251"/>
      <c r="C112" s="882" t="s">
        <v>727</v>
      </c>
      <c r="D112" s="818" t="s">
        <v>728</v>
      </c>
      <c r="E112" s="895">
        <v>0.2</v>
      </c>
      <c r="F112" s="882">
        <v>30</v>
      </c>
    </row>
    <row r="113" spans="1:6" s="878" customFormat="1" ht="36">
      <c r="A113" s="882">
        <v>53</v>
      </c>
      <c r="B113" s="325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51" t="s">
        <v>737</v>
      </c>
      <c r="C116" s="882" t="s">
        <v>738</v>
      </c>
      <c r="D116" s="818" t="s">
        <v>739</v>
      </c>
      <c r="E116" s="895">
        <v>0.2</v>
      </c>
      <c r="F116" s="882">
        <v>30</v>
      </c>
    </row>
    <row r="117" spans="1:6" ht="36">
      <c r="A117" s="882">
        <v>57</v>
      </c>
      <c r="B117" s="325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0.98740000000000006</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5" t="s">
        <v>3003</v>
      </c>
    </row>
    <row r="2" spans="1:5" ht="15.6">
      <c r="A2" s="2914" t="s">
        <v>2995</v>
      </c>
      <c r="B2" s="2915">
        <f ca="1">SUMIF(B6:B13,"&lt;&gt;#ref!",B6:B13)</f>
        <v>8941</v>
      </c>
      <c r="C2" s="2914" t="s">
        <v>2996</v>
      </c>
      <c r="D2" s="2914" t="s">
        <v>2997</v>
      </c>
      <c r="E2" s="2915">
        <f ca="1">SUMIF(E6:E13,"&lt;&gt;#ref!",E6:E13)</f>
        <v>7727.4000000000005</v>
      </c>
    </row>
    <row r="3" spans="1:5" ht="15.6">
      <c r="A3" s="2914" t="s">
        <v>2998</v>
      </c>
      <c r="B3" s="2915">
        <f ca="1">ROUND(B2*10000/E2,0)</f>
        <v>11571</v>
      </c>
      <c r="C3" s="2914" t="s">
        <v>3004</v>
      </c>
      <c r="D3" s="2916"/>
      <c r="E3" s="2916"/>
    </row>
    <row r="4" spans="1:5" ht="15.6">
      <c r="A4" s="2917"/>
      <c r="B4" s="2916"/>
      <c r="C4" s="2916"/>
      <c r="D4" s="2916"/>
      <c r="E4" s="2916"/>
    </row>
    <row r="5" spans="1:5" ht="31.2">
      <c r="A5" s="2918" t="s">
        <v>2999</v>
      </c>
      <c r="B5" s="2914" t="s">
        <v>3000</v>
      </c>
      <c r="C5" s="2915"/>
      <c r="D5" s="2916"/>
      <c r="E5" s="2914" t="s">
        <v>3001</v>
      </c>
    </row>
    <row r="6" spans="1:5" ht="15.6">
      <c r="A6" s="2919" t="s">
        <v>3002</v>
      </c>
      <c r="B6" s="2915">
        <f ca="1">SUMIF(INDIRECT("'"&amp;A6&amp;"'"&amp;"!A:A"),"总价",INDIRECT("'"&amp;A6&amp;"'"&amp;"!B:B"))</f>
        <v>8941</v>
      </c>
      <c r="C6" s="2914" t="s">
        <v>2996</v>
      </c>
      <c r="D6" s="2916"/>
      <c r="E6" s="2579">
        <f ca="1">SUMIF(INDIRECT("'"&amp;A6&amp;"'"&amp;"!C:C"),"建筑面积",INDIRECT("'"&amp;A6&amp;"'"&amp;"!D:D"))</f>
        <v>7727.4000000000005</v>
      </c>
    </row>
    <row r="7" spans="1:5" ht="15.6">
      <c r="A7" s="2919"/>
      <c r="B7" s="2915" t="e">
        <f ca="1">SUMIF(INDIRECT("'"&amp;A7&amp;"'"&amp;"!A:A"),"总价",INDIRECT("'"&amp;A7&amp;"'"&amp;"!B:B"))</f>
        <v>#REF!</v>
      </c>
      <c r="C7" s="2914" t="s">
        <v>2996</v>
      </c>
      <c r="D7" s="2916"/>
      <c r="E7" s="2579" t="e">
        <f t="shared" ref="E7:E13" ca="1" si="0">SUMIF(INDIRECT("'"&amp;A7&amp;"'"&amp;"!C:C"),"建筑面积",INDIRECT("'"&amp;A7&amp;"'"&amp;"!D:D"))</f>
        <v>#REF!</v>
      </c>
    </row>
    <row r="8" spans="1:5" ht="15.6">
      <c r="A8" s="2919"/>
      <c r="B8" s="2915" t="e">
        <f t="shared" ref="B8:B13" ca="1" si="1">SUMIF(INDIRECT("'"&amp;A8&amp;"'"&amp;"!A:A"),"总价",INDIRECT("'"&amp;A8&amp;"'"&amp;"!B:B"))</f>
        <v>#REF!</v>
      </c>
      <c r="C8" s="2914" t="s">
        <v>2996</v>
      </c>
      <c r="D8" s="2916"/>
      <c r="E8" s="2579" t="e">
        <f t="shared" ca="1" si="0"/>
        <v>#REF!</v>
      </c>
    </row>
    <row r="9" spans="1:5" ht="15.6">
      <c r="A9" s="2919"/>
      <c r="B9" s="2915" t="e">
        <f t="shared" ca="1" si="1"/>
        <v>#REF!</v>
      </c>
      <c r="C9" s="2914" t="s">
        <v>2996</v>
      </c>
      <c r="D9" s="2916"/>
      <c r="E9" s="2579" t="e">
        <f t="shared" ca="1" si="0"/>
        <v>#REF!</v>
      </c>
    </row>
    <row r="10" spans="1:5" ht="15.6">
      <c r="A10" s="2919"/>
      <c r="B10" s="2915" t="e">
        <f t="shared" ca="1" si="1"/>
        <v>#REF!</v>
      </c>
      <c r="C10" s="2914" t="s">
        <v>2996</v>
      </c>
      <c r="D10" s="2916"/>
      <c r="E10" s="2579" t="e">
        <f t="shared" ca="1" si="0"/>
        <v>#REF!</v>
      </c>
    </row>
    <row r="11" spans="1:5" ht="15.6">
      <c r="A11" s="2919"/>
      <c r="B11" s="2915" t="e">
        <f t="shared" ca="1" si="1"/>
        <v>#REF!</v>
      </c>
      <c r="C11" s="2914" t="s">
        <v>2996</v>
      </c>
      <c r="D11" s="2916"/>
      <c r="E11" s="2579" t="e">
        <f t="shared" ca="1" si="0"/>
        <v>#REF!</v>
      </c>
    </row>
    <row r="12" spans="1:5" ht="15.6">
      <c r="A12" s="2919"/>
      <c r="B12" s="2915" t="e">
        <f t="shared" ca="1" si="1"/>
        <v>#REF!</v>
      </c>
      <c r="C12" s="2914" t="s">
        <v>2996</v>
      </c>
      <c r="D12" s="2916"/>
      <c r="E12" s="2579" t="e">
        <f t="shared" ca="1" si="0"/>
        <v>#REF!</v>
      </c>
    </row>
    <row r="13" spans="1:5" ht="15.6">
      <c r="A13" s="2919"/>
      <c r="B13" s="2915" t="e">
        <f t="shared" ca="1" si="1"/>
        <v>#REF!</v>
      </c>
      <c r="C13" s="2914" t="s">
        <v>2996</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3" sqref="B3"/>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57" t="s">
        <v>1150</v>
      </c>
      <c r="C1" s="3257"/>
      <c r="D1" s="3257"/>
      <c r="E1" s="3257"/>
      <c r="F1" s="3257"/>
      <c r="G1" s="3253" t="s">
        <v>1151</v>
      </c>
      <c r="H1" s="3253"/>
      <c r="I1" s="3253"/>
      <c r="J1" s="3253"/>
      <c r="K1" s="3253"/>
      <c r="L1" s="3253"/>
      <c r="N1" s="3253" t="s">
        <v>1152</v>
      </c>
      <c r="O1" s="3253"/>
      <c r="P1" s="3253"/>
      <c r="Q1" s="3253"/>
      <c r="R1" s="1448"/>
      <c r="S1" s="3253" t="s">
        <v>1153</v>
      </c>
      <c r="T1" s="3253"/>
      <c r="U1" s="3253"/>
      <c r="V1" s="3253"/>
      <c r="X1" s="3252" t="s">
        <v>1154</v>
      </c>
      <c r="Y1" s="3253"/>
      <c r="Z1" s="3253"/>
      <c r="AA1" s="3253"/>
      <c r="AB1" s="3253"/>
      <c r="AD1" s="3252" t="s">
        <v>1155</v>
      </c>
      <c r="AE1" s="3253"/>
      <c r="AF1" s="3253"/>
      <c r="AG1" s="3253"/>
      <c r="AH1" s="3253"/>
    </row>
    <row r="2" spans="1:34" s="1449" customFormat="1" ht="1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3" customFormat="1" ht="14.4">
      <c r="A3" s="2942" t="s">
        <v>3038</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5" customFormat="1" ht="14.4">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3044</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3">
        <v>2018</v>
      </c>
      <c r="H5" s="1732">
        <v>2</v>
      </c>
      <c r="I5" s="2928">
        <v>0</v>
      </c>
      <c r="J5" s="2928">
        <v>0</v>
      </c>
      <c r="K5" s="2928">
        <v>0</v>
      </c>
      <c r="L5" s="2928">
        <v>0</v>
      </c>
      <c r="N5" s="1469">
        <f t="shared" ref="N5" si="7">I5/100</f>
        <v>0</v>
      </c>
      <c r="O5" s="1469">
        <f t="shared" ref="O5" si="8">J5/100</f>
        <v>0</v>
      </c>
      <c r="P5" s="1469">
        <f t="shared" ref="P5" si="9">K5/100</f>
        <v>0</v>
      </c>
      <c r="Q5" s="1469">
        <f t="shared" ref="Q5" si="10">L5/100</f>
        <v>0</v>
      </c>
      <c r="R5" s="1734"/>
      <c r="S5" s="1735"/>
      <c r="T5" s="1734"/>
      <c r="U5" s="1734"/>
      <c r="V5" s="1734"/>
      <c r="W5" s="2932" t="s">
        <v>3039</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8" thickBot="1">
      <c r="A6" s="1463" t="s">
        <v>3037</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4">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3034</v>
      </c>
      <c r="B7" s="1471">
        <v>439</v>
      </c>
      <c r="C7" s="1471">
        <v>327</v>
      </c>
      <c r="D7" s="1471">
        <f>C7</f>
        <v>327</v>
      </c>
      <c r="E7" s="1471">
        <v>627</v>
      </c>
      <c r="F7" s="1472">
        <v>283</v>
      </c>
      <c r="G7" s="2930">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8" thickBot="1">
      <c r="A8" s="1463" t="s">
        <v>3035</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6"/>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5"/>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8" thickBot="1">
      <c r="A10" s="1463" t="s">
        <v>1161</v>
      </c>
      <c r="B10" s="1479">
        <f>B11*(1+N10)</f>
        <v>405.524</v>
      </c>
      <c r="C10" s="1479">
        <f>C11*(1+O10)</f>
        <v>307.79840000000002</v>
      </c>
      <c r="D10" s="1479">
        <f>C10</f>
        <v>307.79840000000002</v>
      </c>
      <c r="E10" s="1479">
        <f>E11*(1+P10)</f>
        <v>574.67759999999998</v>
      </c>
      <c r="F10" s="1479">
        <f>F11*(1+Q10)</f>
        <v>270.20280000000002</v>
      </c>
      <c r="G10" s="2926"/>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58">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55"/>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55"/>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8"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56"/>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8" thickBot="1">
      <c r="A15" s="1463" t="s">
        <v>151</v>
      </c>
      <c r="B15" s="1471">
        <v>333</v>
      </c>
      <c r="C15" s="1471">
        <v>277</v>
      </c>
      <c r="D15" s="1471">
        <f t="shared" si="44"/>
        <v>277</v>
      </c>
      <c r="E15" s="1471">
        <v>459</v>
      </c>
      <c r="F15" s="1472">
        <v>249</v>
      </c>
      <c r="G15" s="3254">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55"/>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55"/>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56"/>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8" thickBot="1">
      <c r="A19" s="1463" t="s">
        <v>147</v>
      </c>
      <c r="B19" s="1492">
        <v>318</v>
      </c>
      <c r="C19" s="1492">
        <v>268</v>
      </c>
      <c r="D19" s="1492">
        <f t="shared" si="44"/>
        <v>268</v>
      </c>
      <c r="E19" s="1492">
        <v>437</v>
      </c>
      <c r="F19" s="1493">
        <v>237</v>
      </c>
      <c r="G19" s="3254">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55"/>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8"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55"/>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8"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56"/>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8" thickBot="1">
      <c r="A23" s="1463" t="s">
        <v>1163</v>
      </c>
      <c r="B23" s="1471">
        <v>299</v>
      </c>
      <c r="C23" s="1471">
        <v>252</v>
      </c>
      <c r="D23" s="1471">
        <f t="shared" si="44"/>
        <v>252</v>
      </c>
      <c r="E23" s="1471">
        <v>409</v>
      </c>
      <c r="F23" s="1472">
        <v>227</v>
      </c>
      <c r="G23" s="3259">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60"/>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60"/>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61"/>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8" thickBot="1">
      <c r="A27" s="1463" t="s">
        <v>1167</v>
      </c>
      <c r="B27" s="1513">
        <v>278</v>
      </c>
      <c r="C27" s="1513">
        <v>234</v>
      </c>
      <c r="D27" s="1513">
        <f t="shared" si="44"/>
        <v>234</v>
      </c>
      <c r="E27" s="1513">
        <v>379</v>
      </c>
      <c r="F27" s="1514">
        <v>220</v>
      </c>
      <c r="G27" s="3254">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55"/>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55"/>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8" thickBot="1">
      <c r="A30" s="1463" t="s">
        <v>1170</v>
      </c>
      <c r="B30" s="1479">
        <f>B29/(1+N29)</f>
        <v>275.19025476197027</v>
      </c>
      <c r="C30" s="1515">
        <v>232</v>
      </c>
      <c r="D30" s="1515">
        <f t="shared" si="44"/>
        <v>232</v>
      </c>
      <c r="E30" s="1479">
        <f t="shared" si="55"/>
        <v>375.65990977608692</v>
      </c>
      <c r="F30" s="1479">
        <f t="shared" si="55"/>
        <v>214.12518283971252</v>
      </c>
      <c r="G30" s="3256"/>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8" thickBot="1">
      <c r="A31" s="1463" t="s">
        <v>1171</v>
      </c>
      <c r="B31" s="1471">
        <v>275</v>
      </c>
      <c r="C31" s="1471">
        <v>232</v>
      </c>
      <c r="D31" s="1471">
        <f t="shared" si="44"/>
        <v>232</v>
      </c>
      <c r="E31" s="1471">
        <v>376</v>
      </c>
      <c r="F31" s="1472">
        <v>213</v>
      </c>
      <c r="G31" s="3254">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55">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55">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8"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56">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8" thickBot="1">
      <c r="A35" s="1463" t="s">
        <v>1175</v>
      </c>
      <c r="B35" s="1471">
        <v>269</v>
      </c>
      <c r="C35" s="1471">
        <v>221</v>
      </c>
      <c r="D35" s="1471">
        <f t="shared" si="44"/>
        <v>221</v>
      </c>
      <c r="E35" s="1471">
        <v>373</v>
      </c>
      <c r="F35" s="1472">
        <v>196</v>
      </c>
      <c r="G35" s="3254">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55">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55">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8"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56">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8" thickBot="1">
      <c r="A39" s="1463" t="s">
        <v>1179</v>
      </c>
      <c r="B39" s="1471">
        <v>220</v>
      </c>
      <c r="C39" s="1471">
        <v>187</v>
      </c>
      <c r="D39" s="1471">
        <f t="shared" si="44"/>
        <v>187</v>
      </c>
      <c r="E39" s="1471">
        <v>301</v>
      </c>
      <c r="F39" s="1472">
        <v>168</v>
      </c>
      <c r="G39" s="3254">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55">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55">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56">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8" thickBot="1">
      <c r="A43" s="1463" t="s">
        <v>1183</v>
      </c>
      <c r="B43" s="1513">
        <v>214</v>
      </c>
      <c r="C43" s="1513">
        <v>188</v>
      </c>
      <c r="D43" s="1513">
        <f t="shared" si="44"/>
        <v>188</v>
      </c>
      <c r="E43" s="1513">
        <v>289</v>
      </c>
      <c r="F43" s="1514">
        <v>166</v>
      </c>
      <c r="G43" s="3254">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55">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55">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8"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56">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8" thickBot="1">
      <c r="A47" s="1463" t="s">
        <v>1187</v>
      </c>
      <c r="B47" s="1471">
        <v>188</v>
      </c>
      <c r="C47" s="1471">
        <v>165</v>
      </c>
      <c r="D47" s="1471">
        <f t="shared" si="44"/>
        <v>165</v>
      </c>
      <c r="E47" s="1471">
        <v>254</v>
      </c>
      <c r="F47" s="1472">
        <v>148</v>
      </c>
      <c r="G47" s="3254">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55">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55">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56">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8" thickBot="1">
      <c r="A51" s="1463" t="s">
        <v>1191</v>
      </c>
      <c r="B51" s="1492">
        <v>159</v>
      </c>
      <c r="C51" s="1492">
        <v>141</v>
      </c>
      <c r="D51" s="1492">
        <f t="shared" si="44"/>
        <v>141</v>
      </c>
      <c r="E51" s="1492">
        <v>195</v>
      </c>
      <c r="F51" s="1493">
        <v>122</v>
      </c>
      <c r="G51" s="3254">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55">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55">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56">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8" thickBot="1">
      <c r="A55" s="1463" t="s">
        <v>1195</v>
      </c>
      <c r="B55" s="1492">
        <v>138</v>
      </c>
      <c r="C55" s="1492">
        <v>131</v>
      </c>
      <c r="D55" s="1492">
        <f t="shared" si="44"/>
        <v>131</v>
      </c>
      <c r="E55" s="1492">
        <v>155</v>
      </c>
      <c r="F55" s="1493">
        <v>114</v>
      </c>
      <c r="G55" s="3254">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55">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55">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56">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8" thickBot="1">
      <c r="A59" s="1463" t="s">
        <v>1199</v>
      </c>
      <c r="B59" s="1513">
        <v>121</v>
      </c>
      <c r="C59" s="1513">
        <v>122</v>
      </c>
      <c r="D59" s="1513">
        <f t="shared" si="44"/>
        <v>122</v>
      </c>
      <c r="E59" s="1513">
        <v>124</v>
      </c>
      <c r="F59" s="1514">
        <v>107</v>
      </c>
      <c r="G59" s="3254">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55">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55">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8"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56">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8" thickBot="1">
      <c r="A63" s="1463" t="s">
        <v>1203</v>
      </c>
      <c r="B63" s="1534">
        <v>111</v>
      </c>
      <c r="C63" s="1534">
        <v>114</v>
      </c>
      <c r="D63" s="1534">
        <f t="shared" si="44"/>
        <v>114</v>
      </c>
      <c r="E63" s="1534">
        <v>108</v>
      </c>
      <c r="F63" s="1535">
        <v>104</v>
      </c>
      <c r="G63" s="3254">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55">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55">
        <v>2003</v>
      </c>
      <c r="H65" s="1467">
        <v>2</v>
      </c>
      <c r="I65" s="1536"/>
      <c r="J65" s="1536"/>
      <c r="K65" s="1536"/>
      <c r="L65" s="1536"/>
      <c r="X65" s="1528"/>
      <c r="Y65" s="1528"/>
      <c r="Z65" s="1528"/>
    </row>
    <row r="66" spans="1:26" ht="13.8" thickBot="1">
      <c r="A66" s="1463" t="s">
        <v>1206</v>
      </c>
      <c r="B66" s="1538">
        <f t="shared" si="80"/>
        <v>107.25</v>
      </c>
      <c r="C66" s="1538">
        <f t="shared" si="80"/>
        <v>108.75</v>
      </c>
      <c r="D66" s="1538">
        <f t="shared" si="44"/>
        <v>108.75</v>
      </c>
      <c r="E66" s="1538">
        <f t="shared" si="81"/>
        <v>105.75</v>
      </c>
      <c r="F66" s="1538">
        <f t="shared" si="81"/>
        <v>102.5</v>
      </c>
      <c r="G66" s="3256">
        <v>2003</v>
      </c>
      <c r="H66" s="1539">
        <v>1</v>
      </c>
      <c r="I66" s="1536"/>
      <c r="J66" s="1536"/>
      <c r="K66" s="1536"/>
      <c r="L66" s="1536"/>
      <c r="S66" s="1474"/>
      <c r="T66" s="1475"/>
      <c r="U66" s="1475"/>
      <c r="X66" s="1528"/>
      <c r="Y66" s="1528"/>
      <c r="Z66" s="1528"/>
    </row>
    <row r="67" spans="1:26" ht="13.8" thickBot="1">
      <c r="A67" s="1463" t="s">
        <v>1207</v>
      </c>
      <c r="B67" s="1540">
        <v>106</v>
      </c>
      <c r="C67" s="1540">
        <v>107</v>
      </c>
      <c r="D67" s="1540">
        <f t="shared" si="44"/>
        <v>107</v>
      </c>
      <c r="E67" s="1540">
        <v>105</v>
      </c>
      <c r="F67" s="1541">
        <v>102</v>
      </c>
      <c r="G67" s="3254">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55">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55">
        <v>2002</v>
      </c>
      <c r="H69" s="1467">
        <v>2</v>
      </c>
      <c r="I69" s="1536"/>
      <c r="J69" s="1536"/>
      <c r="K69" s="1536"/>
      <c r="L69" s="1536"/>
      <c r="X69" s="1528"/>
      <c r="Y69" s="1528"/>
      <c r="Z69" s="1528"/>
    </row>
    <row r="70" spans="1:26" s="1500" customFormat="1" ht="13.8" thickBot="1">
      <c r="A70" s="1496" t="s">
        <v>1210</v>
      </c>
      <c r="B70" s="1542">
        <f t="shared" si="82"/>
        <v>103</v>
      </c>
      <c r="C70" s="1542">
        <f t="shared" si="82"/>
        <v>104</v>
      </c>
      <c r="D70" s="1542">
        <f t="shared" si="44"/>
        <v>104</v>
      </c>
      <c r="E70" s="1542">
        <f t="shared" si="83"/>
        <v>103.5</v>
      </c>
      <c r="F70" s="1542">
        <f t="shared" si="83"/>
        <v>100.5</v>
      </c>
      <c r="G70" s="3256">
        <v>2002</v>
      </c>
      <c r="H70" s="1543">
        <v>1</v>
      </c>
      <c r="I70" s="1544"/>
      <c r="J70" s="1544"/>
      <c r="K70" s="1544"/>
      <c r="L70" s="1544"/>
      <c r="N70" s="1545"/>
      <c r="S70" s="1545"/>
      <c r="X70" s="1546"/>
      <c r="Y70" s="1546"/>
      <c r="Z70" s="1546"/>
    </row>
    <row r="71" spans="1:26" ht="13.8"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8"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8"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1621</v>
      </c>
      <c r="B1" s="1961"/>
      <c r="C1" s="1961"/>
      <c r="D1" s="1961"/>
      <c r="E1" s="1961"/>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7.399999999999999">
      <c r="A3" s="2952" t="str">
        <f>IF(项目基本情况!B9="房地产市场价值","估价结果一览表（市场价值不需“结果表-1”）","估价结果一览表")</f>
        <v>估价结果一览表</v>
      </c>
      <c r="B3" s="2952"/>
      <c r="C3" s="2952"/>
      <c r="D3" s="2952"/>
      <c r="E3" s="2952"/>
    </row>
    <row r="4" spans="1:5" ht="18" thickBot="1">
      <c r="A4" s="1963"/>
      <c r="B4" s="2950" t="s">
        <v>1630</v>
      </c>
      <c r="C4" s="2950"/>
      <c r="D4" s="2950"/>
      <c r="E4" s="1963"/>
    </row>
    <row r="5" spans="1:5" ht="16.2" thickTop="1">
      <c r="A5" s="1961"/>
      <c r="B5" s="2948" t="s">
        <v>1622</v>
      </c>
      <c r="C5" s="1964" t="s">
        <v>1623</v>
      </c>
      <c r="D5" s="1043">
        <f ca="1">结果表!H101</f>
        <v>14021</v>
      </c>
      <c r="E5" s="1961"/>
    </row>
    <row r="6" spans="1:5" ht="15.6">
      <c r="A6" s="1961"/>
      <c r="B6" s="2948"/>
      <c r="C6" s="1964" t="s">
        <v>1624</v>
      </c>
      <c r="D6" s="1043" t="str">
        <f ca="1">NUMBERSTRING(INT(D5*10000),2)&amp;"元整"</f>
        <v>壹亿肆仟零贰拾壹万元整</v>
      </c>
      <c r="E6" s="1961"/>
    </row>
    <row r="7" spans="1:5" ht="15.6">
      <c r="A7" s="1961"/>
      <c r="B7" s="2953"/>
      <c r="C7" s="1965" t="s">
        <v>1625</v>
      </c>
      <c r="D7" s="1044">
        <f ca="1">结果表!H102</f>
        <v>18145</v>
      </c>
      <c r="E7" s="1961"/>
    </row>
    <row r="8" spans="1:5" ht="15.6">
      <c r="A8" s="1961"/>
      <c r="B8" s="2954" t="str">
        <f>结果表!E103</f>
        <v>2.估价师知悉的法定优先受偿款</v>
      </c>
      <c r="C8" s="1966" t="s">
        <v>1626</v>
      </c>
      <c r="D8" s="1044">
        <f>结果表!H103</f>
        <v>0</v>
      </c>
      <c r="E8" s="1961"/>
    </row>
    <row r="9" spans="1:5" ht="15.6">
      <c r="A9" s="1961"/>
      <c r="B9" s="2956"/>
      <c r="C9" s="1964" t="s">
        <v>1624</v>
      </c>
      <c r="D9" s="1043" t="str">
        <f>NUMBERSTRING(INT(D8*10000),2)&amp;"元整"</f>
        <v>零元整</v>
      </c>
      <c r="E9" s="1961"/>
    </row>
    <row r="10" spans="1:5" ht="15.6">
      <c r="A10" s="1961"/>
      <c r="B10" s="1967" t="s">
        <v>1629</v>
      </c>
      <c r="C10" s="1968" t="s">
        <v>1627</v>
      </c>
      <c r="D10" s="1045">
        <f>结果表!H104</f>
        <v>0</v>
      </c>
      <c r="E10" s="1961"/>
    </row>
    <row r="11" spans="1:5" ht="15.6">
      <c r="A11" s="1961"/>
      <c r="B11" s="1967" t="s">
        <v>1631</v>
      </c>
      <c r="C11" s="1968" t="s">
        <v>1632</v>
      </c>
      <c r="D11" s="1045">
        <f>结果表!H105</f>
        <v>0</v>
      </c>
      <c r="E11" s="1961"/>
    </row>
    <row r="12" spans="1:5" ht="15.6">
      <c r="A12" s="1961"/>
      <c r="B12" s="1967" t="s">
        <v>1633</v>
      </c>
      <c r="C12" s="1968" t="s">
        <v>1632</v>
      </c>
      <c r="D12" s="1045">
        <f>结果表!H106</f>
        <v>0</v>
      </c>
      <c r="E12" s="1961"/>
    </row>
    <row r="13" spans="1:5" ht="15.6">
      <c r="A13" s="1961"/>
      <c r="B13" s="2947" t="str">
        <f>结果表!E107</f>
        <v>3.房地产抵押价值</v>
      </c>
      <c r="C13" s="1969" t="s">
        <v>1623</v>
      </c>
      <c r="D13" s="1046">
        <f ca="1">结果表!H107</f>
        <v>14021</v>
      </c>
      <c r="E13" s="1961"/>
    </row>
    <row r="14" spans="1:5" ht="15.6">
      <c r="A14" s="1961"/>
      <c r="B14" s="2948"/>
      <c r="C14" s="1964" t="s">
        <v>1624</v>
      </c>
      <c r="D14" s="1043" t="str">
        <f ca="1">NUMBERSTRING(INT(D13*10000),2)&amp;"元整"</f>
        <v>壹亿肆仟零贰拾壹万元整</v>
      </c>
      <c r="E14" s="1961"/>
    </row>
    <row r="15" spans="1:5" ht="15.6">
      <c r="A15" s="1961"/>
      <c r="B15" s="2953"/>
      <c r="C15" s="1965" t="s">
        <v>1634</v>
      </c>
      <c r="D15" s="1055">
        <f ca="1">结果表!H108</f>
        <v>18145</v>
      </c>
      <c r="E15" s="1961"/>
    </row>
    <row r="16" spans="1:5" ht="15.6">
      <c r="A16" s="1961"/>
      <c r="B16" s="2954" t="str">
        <f>结果表!E109</f>
        <v>——</v>
      </c>
      <c r="C16" s="1969" t="s">
        <v>1635</v>
      </c>
      <c r="D16" s="1970" t="str">
        <f>结果表!H109</f>
        <v>——</v>
      </c>
      <c r="E16" s="1961"/>
    </row>
    <row r="17" spans="1:5" ht="15.6">
      <c r="A17" s="1961"/>
      <c r="B17" s="2955"/>
      <c r="C17" s="1964" t="s">
        <v>1636</v>
      </c>
      <c r="D17" s="1043" t="e">
        <f>NUMBERSTRING(INT(D16*10000),2)&amp;"元整"</f>
        <v>#VALUE!</v>
      </c>
      <c r="E17" s="1961"/>
    </row>
    <row r="18" spans="1:5" ht="15.6">
      <c r="A18" s="1961"/>
      <c r="B18" s="2956"/>
      <c r="C18" s="1965" t="s">
        <v>1625</v>
      </c>
      <c r="D18" s="1055" t="str">
        <f>结果表!H110</f>
        <v>——</v>
      </c>
      <c r="E18" s="1961"/>
    </row>
    <row r="19" spans="1:5" ht="15.6">
      <c r="A19" s="1961"/>
      <c r="B19" s="2947" t="str">
        <f>结果表!E111</f>
        <v>——</v>
      </c>
      <c r="C19" s="1969" t="s">
        <v>1623</v>
      </c>
      <c r="D19" s="1044" t="str">
        <f>结果表!H111</f>
        <v>——</v>
      </c>
      <c r="E19" s="1961"/>
    </row>
    <row r="20" spans="1:5" ht="15.6">
      <c r="A20" s="1961"/>
      <c r="B20" s="2948"/>
      <c r="C20" s="1964" t="s">
        <v>1636</v>
      </c>
      <c r="D20" s="1043" t="e">
        <f>NUMBERSTRING(INT(D19*10000),2)&amp;"元整"</f>
        <v>#VALUE!</v>
      </c>
      <c r="E20" s="1961"/>
    </row>
    <row r="21" spans="1:5" ht="16.2" thickBot="1">
      <c r="A21" s="1961"/>
      <c r="B21" s="2949"/>
      <c r="C21" s="1971" t="s">
        <v>1634</v>
      </c>
      <c r="D21" s="1056" t="str">
        <f>结果表!H112</f>
        <v>——</v>
      </c>
      <c r="E21" s="1961"/>
    </row>
    <row r="22" spans="1:5" ht="14.4" thickTop="1">
      <c r="A22" s="1961"/>
      <c r="B22" s="1972" t="s">
        <v>1637</v>
      </c>
      <c r="C22" s="1961"/>
      <c r="D22" s="1961"/>
      <c r="E22" s="1961"/>
    </row>
    <row r="23" spans="1:5">
      <c r="A23" s="1961"/>
      <c r="B23" s="1961"/>
      <c r="C23" s="1961"/>
      <c r="D23" s="1961"/>
      <c r="E23" s="1961"/>
    </row>
    <row r="24" spans="1:5" ht="17.399999999999999">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63" t="s">
        <v>3006</v>
      </c>
      <c r="D1" s="3264"/>
      <c r="E1" s="3264"/>
      <c r="F1" s="3264"/>
      <c r="G1" s="3264"/>
      <c r="H1" s="3264"/>
      <c r="I1" s="3264"/>
      <c r="J1" s="3264"/>
      <c r="K1" s="3264"/>
      <c r="L1" s="3264"/>
      <c r="M1" s="3264"/>
      <c r="N1" s="3264"/>
      <c r="O1" s="3264"/>
      <c r="P1" s="3264"/>
      <c r="Q1" s="3264"/>
      <c r="R1" s="3264"/>
      <c r="S1" s="3265"/>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3015</v>
      </c>
      <c r="B17" s="2921"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3017</v>
      </c>
      <c r="E19" s="1794"/>
      <c r="F19" s="1794"/>
      <c r="G19" s="1794"/>
      <c r="H19" s="1283"/>
      <c r="I19" s="168"/>
      <c r="J19" s="168"/>
      <c r="K19" s="168"/>
      <c r="L19" s="168"/>
      <c r="M19" s="168"/>
      <c r="N19" s="168"/>
      <c r="O19" s="168"/>
      <c r="P19" s="168"/>
      <c r="Q19" s="168"/>
      <c r="R19" s="788"/>
      <c r="S19" s="138"/>
    </row>
    <row r="20" spans="1:45" ht="16.2" thickBot="1">
      <c r="A20" s="715" t="s">
        <v>3018</v>
      </c>
      <c r="B20" s="338" t="e">
        <f ca="1">IF(D20="——",S22,S22-F20)</f>
        <v>#REF!</v>
      </c>
      <c r="C20" s="168"/>
      <c r="D20" s="2923" t="s">
        <v>3019</v>
      </c>
      <c r="E20" s="1795"/>
      <c r="F20" s="1207" t="e">
        <f ca="1">SUMIF(INDIRECT("'"&amp;H20&amp;"'"&amp;"!A:A"),"承租人权益价值",INDIRECT("'"&amp;H20&amp;"'"&amp;"!c:c"))</f>
        <v>#REF!</v>
      </c>
      <c r="G20" s="1207" t="s">
        <v>3020</v>
      </c>
      <c r="H20" s="2924"/>
      <c r="I20" s="168"/>
      <c r="J20" s="168"/>
      <c r="K20" s="168"/>
      <c r="L20" s="168"/>
      <c r="M20" s="168"/>
      <c r="N20" s="168"/>
      <c r="O20" s="168"/>
      <c r="P20" s="168"/>
      <c r="Q20" s="168"/>
      <c r="R20" s="788"/>
      <c r="S20" s="138"/>
    </row>
    <row r="21" spans="1:45" ht="15.6">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46" t="s">
        <v>33</v>
      </c>
      <c r="D22" s="3047"/>
      <c r="E22" s="3047"/>
      <c r="F22" s="3047"/>
      <c r="G22" s="3047"/>
      <c r="H22" s="3047"/>
      <c r="I22" s="3047"/>
      <c r="J22" s="3047"/>
      <c r="K22" s="3047"/>
      <c r="L22" s="3047"/>
      <c r="M22" s="3047"/>
      <c r="N22" s="3047"/>
      <c r="O22" s="3047"/>
      <c r="P22" s="3047"/>
      <c r="Q22" s="326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29656</v>
      </c>
      <c r="C2" s="2" t="s">
        <v>133</v>
      </c>
      <c r="D2" s="243"/>
      <c r="E2" s="243"/>
      <c r="F2" s="243"/>
      <c r="G2" s="243"/>
    </row>
    <row r="3" spans="1:7" s="244" customFormat="1" ht="18" customHeight="1" thickBot="1">
      <c r="A3" s="247" t="s">
        <v>85</v>
      </c>
      <c r="B3" s="248">
        <f ca="1">ROUND(B2*10000/'数据-汇总表'!E3,0)</f>
        <v>38378</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147</v>
      </c>
      <c r="D10" s="1035">
        <f>'数据-汇总表'!E6</f>
        <v>7727.4000000000015</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155</v>
      </c>
      <c r="D19" s="1039">
        <f>'数据-汇总表'!E3</f>
        <v>7727.4000000000015</v>
      </c>
      <c r="E19" s="255">
        <f>'数据-取费表'!B31</f>
        <v>200</v>
      </c>
      <c r="F19" s="275"/>
      <c r="G19" s="1" t="s">
        <v>1074</v>
      </c>
    </row>
    <row r="20" spans="1:7" s="258" customFormat="1" ht="13.5" customHeight="1">
      <c r="A20" s="951" t="s">
        <v>1057</v>
      </c>
      <c r="B20" s="254" t="s">
        <v>104</v>
      </c>
      <c r="C20" s="276">
        <f>ROUND((C5+C19)*F20,0)</f>
        <v>415</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913</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6.4">
      <c r="A27" s="951" t="s">
        <v>787</v>
      </c>
      <c r="B27" s="288" t="s">
        <v>112</v>
      </c>
      <c r="C27" s="289">
        <f>C28</f>
        <v>3177</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3177</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27370</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2420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2164</v>
      </c>
      <c r="D34" s="261"/>
      <c r="E34" s="264"/>
      <c r="F34" s="301">
        <f>IF('数据-取费表'!B24=0,1,'数据-取费表'!N16)</f>
        <v>1</v>
      </c>
      <c r="G34" s="263" t="s">
        <v>116</v>
      </c>
    </row>
    <row r="35" spans="1:7" ht="13.5" customHeight="1">
      <c r="A35" s="954" t="s">
        <v>796</v>
      </c>
      <c r="B35" s="259" t="s">
        <v>60</v>
      </c>
      <c r="C35" s="264">
        <f>ROUND(C34*F35,0)</f>
        <v>108</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116</v>
      </c>
      <c r="D37" s="261">
        <f>'数据-汇总表'!E3</f>
        <v>7727.4000000000015</v>
      </c>
      <c r="E37" s="293">
        <f>'数据-取费表'!B35</f>
        <v>150</v>
      </c>
      <c r="F37" s="303"/>
      <c r="G37" s="305" t="s">
        <v>119</v>
      </c>
    </row>
    <row r="38" spans="1:7" ht="13.5" customHeight="1">
      <c r="A38" s="954" t="s">
        <v>799</v>
      </c>
      <c r="B38" s="259" t="s">
        <v>63</v>
      </c>
      <c r="C38" s="264">
        <f>ROUND(C34*F38,0)</f>
        <v>32</v>
      </c>
      <c r="D38" s="264"/>
      <c r="E38" s="264"/>
      <c r="F38" s="303">
        <f>'数据-取费表'!B36</f>
        <v>1.4999999999999999E-2</v>
      </c>
      <c r="G38" s="263" t="s">
        <v>117</v>
      </c>
    </row>
    <row r="39" spans="1:7" s="258" customFormat="1" ht="13.5" customHeight="1">
      <c r="A39" s="951" t="s">
        <v>783</v>
      </c>
      <c r="B39" s="254" t="s">
        <v>104</v>
      </c>
      <c r="C39" s="276">
        <f>ROUND(C33*F20,0)</f>
        <v>48</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54</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53</v>
      </c>
      <c r="D42" s="282"/>
      <c r="E42" s="282"/>
      <c r="F42" s="283"/>
      <c r="G42" s="3131" t="s">
        <v>121</v>
      </c>
    </row>
    <row r="43" spans="1:7" ht="13.5" customHeight="1">
      <c r="A43" s="954" t="s">
        <v>792</v>
      </c>
      <c r="B43" s="259" t="s">
        <v>1064</v>
      </c>
      <c r="C43" s="282">
        <f ca="1">ROUND(IF('数据-取费表'!B22&lt;=1,C39*F22*'数据-取费表'!B21/2,C39*(POWER((1+F22),'数据-取费表'!B21/2)-1)),0)</f>
        <v>1</v>
      </c>
      <c r="D43" s="282"/>
      <c r="E43" s="282"/>
      <c r="F43" s="283"/>
      <c r="G43" s="3132"/>
    </row>
    <row r="44" spans="1:7" ht="13.5" customHeight="1">
      <c r="A44" s="954" t="s">
        <v>793</v>
      </c>
      <c r="B44" s="259" t="s">
        <v>1066</v>
      </c>
      <c r="C44" s="282">
        <f ca="1">ROUND(IF('数据-取费表'!B22&lt;=1,C40*F22*'数据-取费表'!B21/2,C40*(POWER((1+F22),'数据-取费表'!B21/2)-1)),4)</f>
        <v>4.0000000000000002E-4</v>
      </c>
      <c r="D44" s="282"/>
      <c r="E44" s="282"/>
      <c r="F44" s="283"/>
      <c r="G44" s="3133"/>
    </row>
    <row r="45" spans="1:7" s="258" customFormat="1" ht="13.5" customHeight="1">
      <c r="A45" s="951" t="s">
        <v>786</v>
      </c>
      <c r="B45" s="288" t="s">
        <v>112</v>
      </c>
      <c r="C45" s="289">
        <f>C46</f>
        <v>370</v>
      </c>
      <c r="D45" s="279">
        <f>C47</f>
        <v>3.0000000000000001E-3</v>
      </c>
      <c r="E45" s="280" t="s">
        <v>129</v>
      </c>
      <c r="F45" s="290"/>
      <c r="G45" s="291" t="s">
        <v>1072</v>
      </c>
    </row>
    <row r="46" spans="1:7" s="258" customFormat="1" ht="13.5" customHeight="1">
      <c r="A46" s="954" t="s">
        <v>794</v>
      </c>
      <c r="B46" s="292" t="s">
        <v>1065</v>
      </c>
      <c r="C46" s="293">
        <f>ROUND((C33+C39)*F27,0)</f>
        <v>370</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3132</v>
      </c>
      <c r="D49" s="276"/>
      <c r="E49" s="276"/>
      <c r="F49" s="308"/>
      <c r="G49" s="278" t="s">
        <v>1073</v>
      </c>
    </row>
    <row r="50" spans="1:7" s="302" customFormat="1" ht="24">
      <c r="A50" s="951" t="s">
        <v>789</v>
      </c>
      <c r="B50" s="254" t="s">
        <v>124</v>
      </c>
      <c r="C50" s="276"/>
      <c r="D50" s="276"/>
      <c r="E50" s="276"/>
      <c r="F50" s="308">
        <f>IF('数据-取费表'!B24=0,'数据-取费表'!N16,1)</f>
        <v>0.73</v>
      </c>
      <c r="G50" s="291" t="s">
        <v>125</v>
      </c>
    </row>
    <row r="51" spans="1:7" ht="16.5" customHeight="1">
      <c r="A51" s="951" t="s">
        <v>790</v>
      </c>
      <c r="B51" s="254" t="s">
        <v>132</v>
      </c>
      <c r="C51" s="276">
        <f ca="1">ROUND(C49*F50,0)</f>
        <v>2286</v>
      </c>
      <c r="D51" s="276"/>
      <c r="E51" s="276"/>
      <c r="F51" s="308"/>
      <c r="G51" s="278" t="s">
        <v>64</v>
      </c>
    </row>
    <row r="52" spans="1:7" s="252" customFormat="1" ht="16.8" thickBot="1">
      <c r="A52" s="309" t="s">
        <v>65</v>
      </c>
      <c r="B52" s="310"/>
      <c r="C52" s="311">
        <f ca="1">C31+C51</f>
        <v>29656</v>
      </c>
      <c r="D52" s="310"/>
      <c r="E52" s="310"/>
      <c r="F52" s="310"/>
      <c r="G52" s="312"/>
    </row>
    <row r="55" spans="1:7" ht="15">
      <c r="B55" s="314" t="s">
        <v>66</v>
      </c>
      <c r="C55" s="315"/>
    </row>
    <row r="56" spans="1:7">
      <c r="B56" s="317" t="s">
        <v>67</v>
      </c>
      <c r="C56" s="318">
        <f ca="1">ROUND(C51/C52,3)</f>
        <v>7.6999999999999999E-2</v>
      </c>
    </row>
    <row r="57" spans="1:7">
      <c r="B57" s="317" t="s">
        <v>68</v>
      </c>
      <c r="C57" s="319">
        <f ca="1">1-C56</f>
        <v>0.92300000000000004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66" t="s">
        <v>156</v>
      </c>
      <c r="B1" s="3266"/>
      <c r="C1" s="3266"/>
      <c r="D1" s="3266"/>
      <c r="E1" s="3266"/>
      <c r="F1" s="326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67" t="s">
        <v>169</v>
      </c>
      <c r="B2" s="3267"/>
      <c r="C2" s="3267"/>
      <c r="D2" s="3267"/>
      <c r="E2" s="3267"/>
      <c r="F2" s="326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66" t="s">
        <v>871</v>
      </c>
      <c r="B1" s="3266"/>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0" customWidth="1"/>
    <col min="2" max="2" width="13.21875" style="1646" customWidth="1"/>
    <col min="3" max="3" width="15.6640625" style="1646" customWidth="1"/>
    <col min="4" max="4" width="9.33203125" style="1646" bestFit="1" customWidth="1"/>
    <col min="5" max="5" width="13.44140625" style="1646" customWidth="1"/>
    <col min="6" max="6" width="9" style="1646"/>
    <col min="7" max="7" width="9.33203125" style="1646" bestFit="1" customWidth="1"/>
    <col min="8" max="8" width="12.21875" style="1646" customWidth="1"/>
    <col min="9" max="9" width="9" style="1646"/>
    <col min="10" max="10" width="9.33203125" style="1646" bestFit="1" customWidth="1"/>
    <col min="11" max="11" width="4" style="1640" customWidth="1"/>
    <col min="12" max="12" width="5.109375" style="1646" customWidth="1"/>
    <col min="13" max="13" width="13.77734375" style="1646" customWidth="1"/>
    <col min="14" max="256" width="9" style="1646"/>
    <col min="257" max="257" width="4.88671875" style="1637" customWidth="1"/>
    <col min="258" max="258" width="13.21875" style="1637" customWidth="1"/>
    <col min="259" max="259" width="15.6640625" style="1637" customWidth="1"/>
    <col min="260" max="260" width="9.33203125" style="1637" bestFit="1" customWidth="1"/>
    <col min="261" max="261" width="13.4414062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09375" style="1637" customWidth="1"/>
    <col min="269" max="269" width="13.77734375" style="1637" customWidth="1"/>
    <col min="270" max="512" width="9" style="1637"/>
    <col min="513" max="513" width="4.88671875" style="1637" customWidth="1"/>
    <col min="514" max="514" width="13.21875" style="1637" customWidth="1"/>
    <col min="515" max="515" width="15.6640625" style="1637" customWidth="1"/>
    <col min="516" max="516" width="9.33203125" style="1637" bestFit="1" customWidth="1"/>
    <col min="517" max="517" width="13.4414062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09375" style="1637" customWidth="1"/>
    <col min="525" max="525" width="13.77734375" style="1637" customWidth="1"/>
    <col min="526" max="768" width="9" style="1637"/>
    <col min="769" max="769" width="4.88671875" style="1637" customWidth="1"/>
    <col min="770" max="770" width="13.21875" style="1637" customWidth="1"/>
    <col min="771" max="771" width="15.6640625" style="1637" customWidth="1"/>
    <col min="772" max="772" width="9.33203125" style="1637" bestFit="1" customWidth="1"/>
    <col min="773" max="773" width="13.4414062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09375" style="1637" customWidth="1"/>
    <col min="781" max="781" width="13.77734375" style="1637" customWidth="1"/>
    <col min="782" max="1024" width="9" style="1637"/>
    <col min="1025" max="1025" width="4.88671875" style="1637" customWidth="1"/>
    <col min="1026" max="1026" width="13.21875" style="1637" customWidth="1"/>
    <col min="1027" max="1027" width="15.6640625" style="1637" customWidth="1"/>
    <col min="1028" max="1028" width="9.33203125" style="1637" bestFit="1" customWidth="1"/>
    <col min="1029" max="1029" width="13.4414062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09375" style="1637" customWidth="1"/>
    <col min="1037" max="1037" width="13.77734375" style="1637" customWidth="1"/>
    <col min="1038" max="1280" width="9" style="1637"/>
    <col min="1281" max="1281" width="4.88671875" style="1637" customWidth="1"/>
    <col min="1282" max="1282" width="13.21875" style="1637" customWidth="1"/>
    <col min="1283" max="1283" width="15.6640625" style="1637" customWidth="1"/>
    <col min="1284" max="1284" width="9.33203125" style="1637" bestFit="1" customWidth="1"/>
    <col min="1285" max="1285" width="13.4414062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09375" style="1637" customWidth="1"/>
    <col min="1293" max="1293" width="13.77734375" style="1637" customWidth="1"/>
    <col min="1294" max="1536" width="9" style="1637"/>
    <col min="1537" max="1537" width="4.88671875" style="1637" customWidth="1"/>
    <col min="1538" max="1538" width="13.21875" style="1637" customWidth="1"/>
    <col min="1539" max="1539" width="15.6640625" style="1637" customWidth="1"/>
    <col min="1540" max="1540" width="9.33203125" style="1637" bestFit="1" customWidth="1"/>
    <col min="1541" max="1541" width="13.4414062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09375" style="1637" customWidth="1"/>
    <col min="1549" max="1549" width="13.77734375" style="1637" customWidth="1"/>
    <col min="1550" max="1792" width="9" style="1637"/>
    <col min="1793" max="1793" width="4.88671875" style="1637" customWidth="1"/>
    <col min="1794" max="1794" width="13.21875" style="1637" customWidth="1"/>
    <col min="1795" max="1795" width="15.6640625" style="1637" customWidth="1"/>
    <col min="1796" max="1796" width="9.33203125" style="1637" bestFit="1" customWidth="1"/>
    <col min="1797" max="1797" width="13.4414062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09375" style="1637" customWidth="1"/>
    <col min="1805" max="1805" width="13.77734375" style="1637" customWidth="1"/>
    <col min="1806" max="2048" width="9" style="1637"/>
    <col min="2049" max="2049" width="4.88671875" style="1637" customWidth="1"/>
    <col min="2050" max="2050" width="13.21875" style="1637" customWidth="1"/>
    <col min="2051" max="2051" width="15.6640625" style="1637" customWidth="1"/>
    <col min="2052" max="2052" width="9.33203125" style="1637" bestFit="1" customWidth="1"/>
    <col min="2053" max="2053" width="13.4414062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09375" style="1637" customWidth="1"/>
    <col min="2061" max="2061" width="13.77734375" style="1637" customWidth="1"/>
    <col min="2062" max="2304" width="9" style="1637"/>
    <col min="2305" max="2305" width="4.88671875" style="1637" customWidth="1"/>
    <col min="2306" max="2306" width="13.21875" style="1637" customWidth="1"/>
    <col min="2307" max="2307" width="15.6640625" style="1637" customWidth="1"/>
    <col min="2308" max="2308" width="9.33203125" style="1637" bestFit="1" customWidth="1"/>
    <col min="2309" max="2309" width="13.4414062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09375" style="1637" customWidth="1"/>
    <col min="2317" max="2317" width="13.77734375" style="1637" customWidth="1"/>
    <col min="2318" max="2560" width="9" style="1637"/>
    <col min="2561" max="2561" width="4.88671875" style="1637" customWidth="1"/>
    <col min="2562" max="2562" width="13.21875" style="1637" customWidth="1"/>
    <col min="2563" max="2563" width="15.6640625" style="1637" customWidth="1"/>
    <col min="2564" max="2564" width="9.33203125" style="1637" bestFit="1" customWidth="1"/>
    <col min="2565" max="2565" width="13.4414062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09375" style="1637" customWidth="1"/>
    <col min="2573" max="2573" width="13.77734375" style="1637" customWidth="1"/>
    <col min="2574" max="2816" width="9" style="1637"/>
    <col min="2817" max="2817" width="4.88671875" style="1637" customWidth="1"/>
    <col min="2818" max="2818" width="13.21875" style="1637" customWidth="1"/>
    <col min="2819" max="2819" width="15.6640625" style="1637" customWidth="1"/>
    <col min="2820" max="2820" width="9.33203125" style="1637" bestFit="1" customWidth="1"/>
    <col min="2821" max="2821" width="13.4414062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09375" style="1637" customWidth="1"/>
    <col min="2829" max="2829" width="13.77734375" style="1637" customWidth="1"/>
    <col min="2830" max="3072" width="9" style="1637"/>
    <col min="3073" max="3073" width="4.88671875" style="1637" customWidth="1"/>
    <col min="3074" max="3074" width="13.21875" style="1637" customWidth="1"/>
    <col min="3075" max="3075" width="15.6640625" style="1637" customWidth="1"/>
    <col min="3076" max="3076" width="9.33203125" style="1637" bestFit="1" customWidth="1"/>
    <col min="3077" max="3077" width="13.4414062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09375" style="1637" customWidth="1"/>
    <col min="3085" max="3085" width="13.77734375" style="1637" customWidth="1"/>
    <col min="3086" max="3328" width="9" style="1637"/>
    <col min="3329" max="3329" width="4.88671875" style="1637" customWidth="1"/>
    <col min="3330" max="3330" width="13.21875" style="1637" customWidth="1"/>
    <col min="3331" max="3331" width="15.6640625" style="1637" customWidth="1"/>
    <col min="3332" max="3332" width="9.33203125" style="1637" bestFit="1" customWidth="1"/>
    <col min="3333" max="3333" width="13.4414062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09375" style="1637" customWidth="1"/>
    <col min="3341" max="3341" width="13.77734375" style="1637" customWidth="1"/>
    <col min="3342" max="3584" width="9" style="1637"/>
    <col min="3585" max="3585" width="4.88671875" style="1637" customWidth="1"/>
    <col min="3586" max="3586" width="13.21875" style="1637" customWidth="1"/>
    <col min="3587" max="3587" width="15.6640625" style="1637" customWidth="1"/>
    <col min="3588" max="3588" width="9.33203125" style="1637" bestFit="1" customWidth="1"/>
    <col min="3589" max="3589" width="13.4414062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09375" style="1637" customWidth="1"/>
    <col min="3597" max="3597" width="13.77734375" style="1637" customWidth="1"/>
    <col min="3598" max="3840" width="9" style="1637"/>
    <col min="3841" max="3841" width="4.88671875" style="1637" customWidth="1"/>
    <col min="3842" max="3842" width="13.21875" style="1637" customWidth="1"/>
    <col min="3843" max="3843" width="15.6640625" style="1637" customWidth="1"/>
    <col min="3844" max="3844" width="9.33203125" style="1637" bestFit="1" customWidth="1"/>
    <col min="3845" max="3845" width="13.4414062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09375" style="1637" customWidth="1"/>
    <col min="3853" max="3853" width="13.77734375" style="1637" customWidth="1"/>
    <col min="3854" max="4096" width="9" style="1637"/>
    <col min="4097" max="4097" width="4.88671875" style="1637" customWidth="1"/>
    <col min="4098" max="4098" width="13.21875" style="1637" customWidth="1"/>
    <col min="4099" max="4099" width="15.6640625" style="1637" customWidth="1"/>
    <col min="4100" max="4100" width="9.33203125" style="1637" bestFit="1" customWidth="1"/>
    <col min="4101" max="4101" width="13.4414062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09375" style="1637" customWidth="1"/>
    <col min="4109" max="4109" width="13.77734375" style="1637" customWidth="1"/>
    <col min="4110" max="4352" width="9" style="1637"/>
    <col min="4353" max="4353" width="4.88671875" style="1637" customWidth="1"/>
    <col min="4354" max="4354" width="13.21875" style="1637" customWidth="1"/>
    <col min="4355" max="4355" width="15.6640625" style="1637" customWidth="1"/>
    <col min="4356" max="4356" width="9.33203125" style="1637" bestFit="1" customWidth="1"/>
    <col min="4357" max="4357" width="13.4414062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09375" style="1637" customWidth="1"/>
    <col min="4365" max="4365" width="13.77734375" style="1637" customWidth="1"/>
    <col min="4366" max="4608" width="9" style="1637"/>
    <col min="4609" max="4609" width="4.88671875" style="1637" customWidth="1"/>
    <col min="4610" max="4610" width="13.21875" style="1637" customWidth="1"/>
    <col min="4611" max="4611" width="15.6640625" style="1637" customWidth="1"/>
    <col min="4612" max="4612" width="9.33203125" style="1637" bestFit="1" customWidth="1"/>
    <col min="4613" max="4613" width="13.4414062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09375" style="1637" customWidth="1"/>
    <col min="4621" max="4621" width="13.77734375" style="1637" customWidth="1"/>
    <col min="4622" max="4864" width="9" style="1637"/>
    <col min="4865" max="4865" width="4.88671875" style="1637" customWidth="1"/>
    <col min="4866" max="4866" width="13.21875" style="1637" customWidth="1"/>
    <col min="4867" max="4867" width="15.6640625" style="1637" customWidth="1"/>
    <col min="4868" max="4868" width="9.33203125" style="1637" bestFit="1" customWidth="1"/>
    <col min="4869" max="4869" width="13.4414062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09375" style="1637" customWidth="1"/>
    <col min="4877" max="4877" width="13.77734375" style="1637" customWidth="1"/>
    <col min="4878" max="5120" width="9" style="1637"/>
    <col min="5121" max="5121" width="4.88671875" style="1637" customWidth="1"/>
    <col min="5122" max="5122" width="13.21875" style="1637" customWidth="1"/>
    <col min="5123" max="5123" width="15.6640625" style="1637" customWidth="1"/>
    <col min="5124" max="5124" width="9.33203125" style="1637" bestFit="1" customWidth="1"/>
    <col min="5125" max="5125" width="13.4414062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09375" style="1637" customWidth="1"/>
    <col min="5133" max="5133" width="13.77734375" style="1637" customWidth="1"/>
    <col min="5134" max="5376" width="9" style="1637"/>
    <col min="5377" max="5377" width="4.88671875" style="1637" customWidth="1"/>
    <col min="5378" max="5378" width="13.21875" style="1637" customWidth="1"/>
    <col min="5379" max="5379" width="15.6640625" style="1637" customWidth="1"/>
    <col min="5380" max="5380" width="9.33203125" style="1637" bestFit="1" customWidth="1"/>
    <col min="5381" max="5381" width="13.4414062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09375" style="1637" customWidth="1"/>
    <col min="5389" max="5389" width="13.77734375" style="1637" customWidth="1"/>
    <col min="5390" max="5632" width="9" style="1637"/>
    <col min="5633" max="5633" width="4.88671875" style="1637" customWidth="1"/>
    <col min="5634" max="5634" width="13.21875" style="1637" customWidth="1"/>
    <col min="5635" max="5635" width="15.6640625" style="1637" customWidth="1"/>
    <col min="5636" max="5636" width="9.33203125" style="1637" bestFit="1" customWidth="1"/>
    <col min="5637" max="5637" width="13.4414062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09375" style="1637" customWidth="1"/>
    <col min="5645" max="5645" width="13.77734375" style="1637" customWidth="1"/>
    <col min="5646" max="5888" width="9" style="1637"/>
    <col min="5889" max="5889" width="4.88671875" style="1637" customWidth="1"/>
    <col min="5890" max="5890" width="13.21875" style="1637" customWidth="1"/>
    <col min="5891" max="5891" width="15.6640625" style="1637" customWidth="1"/>
    <col min="5892" max="5892" width="9.33203125" style="1637" bestFit="1" customWidth="1"/>
    <col min="5893" max="5893" width="13.4414062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09375" style="1637" customWidth="1"/>
    <col min="5901" max="5901" width="13.77734375" style="1637" customWidth="1"/>
    <col min="5902" max="6144" width="9" style="1637"/>
    <col min="6145" max="6145" width="4.88671875" style="1637" customWidth="1"/>
    <col min="6146" max="6146" width="13.21875" style="1637" customWidth="1"/>
    <col min="6147" max="6147" width="15.6640625" style="1637" customWidth="1"/>
    <col min="6148" max="6148" width="9.33203125" style="1637" bestFit="1" customWidth="1"/>
    <col min="6149" max="6149" width="13.4414062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09375" style="1637" customWidth="1"/>
    <col min="6157" max="6157" width="13.77734375" style="1637" customWidth="1"/>
    <col min="6158" max="6400" width="9" style="1637"/>
    <col min="6401" max="6401" width="4.88671875" style="1637" customWidth="1"/>
    <col min="6402" max="6402" width="13.21875" style="1637" customWidth="1"/>
    <col min="6403" max="6403" width="15.6640625" style="1637" customWidth="1"/>
    <col min="6404" max="6404" width="9.33203125" style="1637" bestFit="1" customWidth="1"/>
    <col min="6405" max="6405" width="13.4414062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09375" style="1637" customWidth="1"/>
    <col min="6413" max="6413" width="13.77734375" style="1637" customWidth="1"/>
    <col min="6414" max="6656" width="9" style="1637"/>
    <col min="6657" max="6657" width="4.88671875" style="1637" customWidth="1"/>
    <col min="6658" max="6658" width="13.21875" style="1637" customWidth="1"/>
    <col min="6659" max="6659" width="15.6640625" style="1637" customWidth="1"/>
    <col min="6660" max="6660" width="9.33203125" style="1637" bestFit="1" customWidth="1"/>
    <col min="6661" max="6661" width="13.4414062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09375" style="1637" customWidth="1"/>
    <col min="6669" max="6669" width="13.77734375" style="1637" customWidth="1"/>
    <col min="6670" max="6912" width="9" style="1637"/>
    <col min="6913" max="6913" width="4.88671875" style="1637" customWidth="1"/>
    <col min="6914" max="6914" width="13.21875" style="1637" customWidth="1"/>
    <col min="6915" max="6915" width="15.6640625" style="1637" customWidth="1"/>
    <col min="6916" max="6916" width="9.33203125" style="1637" bestFit="1" customWidth="1"/>
    <col min="6917" max="6917" width="13.4414062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09375" style="1637" customWidth="1"/>
    <col min="6925" max="6925" width="13.77734375" style="1637" customWidth="1"/>
    <col min="6926" max="7168" width="9" style="1637"/>
    <col min="7169" max="7169" width="4.88671875" style="1637" customWidth="1"/>
    <col min="7170" max="7170" width="13.21875" style="1637" customWidth="1"/>
    <col min="7171" max="7171" width="15.6640625" style="1637" customWidth="1"/>
    <col min="7172" max="7172" width="9.33203125" style="1637" bestFit="1" customWidth="1"/>
    <col min="7173" max="7173" width="13.4414062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09375" style="1637" customWidth="1"/>
    <col min="7181" max="7181" width="13.77734375" style="1637" customWidth="1"/>
    <col min="7182" max="7424" width="9" style="1637"/>
    <col min="7425" max="7425" width="4.88671875" style="1637" customWidth="1"/>
    <col min="7426" max="7426" width="13.21875" style="1637" customWidth="1"/>
    <col min="7427" max="7427" width="15.6640625" style="1637" customWidth="1"/>
    <col min="7428" max="7428" width="9.33203125" style="1637" bestFit="1" customWidth="1"/>
    <col min="7429" max="7429" width="13.4414062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09375" style="1637" customWidth="1"/>
    <col min="7437" max="7437" width="13.77734375" style="1637" customWidth="1"/>
    <col min="7438" max="7680" width="9" style="1637"/>
    <col min="7681" max="7681" width="4.88671875" style="1637" customWidth="1"/>
    <col min="7682" max="7682" width="13.21875" style="1637" customWidth="1"/>
    <col min="7683" max="7683" width="15.6640625" style="1637" customWidth="1"/>
    <col min="7684" max="7684" width="9.33203125" style="1637" bestFit="1" customWidth="1"/>
    <col min="7685" max="7685" width="13.4414062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09375" style="1637" customWidth="1"/>
    <col min="7693" max="7693" width="13.77734375" style="1637" customWidth="1"/>
    <col min="7694" max="7936" width="9" style="1637"/>
    <col min="7937" max="7937" width="4.88671875" style="1637" customWidth="1"/>
    <col min="7938" max="7938" width="13.21875" style="1637" customWidth="1"/>
    <col min="7939" max="7939" width="15.6640625" style="1637" customWidth="1"/>
    <col min="7940" max="7940" width="9.33203125" style="1637" bestFit="1" customWidth="1"/>
    <col min="7941" max="7941" width="13.4414062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09375" style="1637" customWidth="1"/>
    <col min="7949" max="7949" width="13.77734375" style="1637" customWidth="1"/>
    <col min="7950" max="8192" width="9" style="1637"/>
    <col min="8193" max="8193" width="4.88671875" style="1637" customWidth="1"/>
    <col min="8194" max="8194" width="13.21875" style="1637" customWidth="1"/>
    <col min="8195" max="8195" width="15.6640625" style="1637" customWidth="1"/>
    <col min="8196" max="8196" width="9.33203125" style="1637" bestFit="1" customWidth="1"/>
    <col min="8197" max="8197" width="13.4414062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09375" style="1637" customWidth="1"/>
    <col min="8205" max="8205" width="13.77734375" style="1637" customWidth="1"/>
    <col min="8206" max="8448" width="9" style="1637"/>
    <col min="8449" max="8449" width="4.88671875" style="1637" customWidth="1"/>
    <col min="8450" max="8450" width="13.21875" style="1637" customWidth="1"/>
    <col min="8451" max="8451" width="15.6640625" style="1637" customWidth="1"/>
    <col min="8452" max="8452" width="9.33203125" style="1637" bestFit="1" customWidth="1"/>
    <col min="8453" max="8453" width="13.4414062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09375" style="1637" customWidth="1"/>
    <col min="8461" max="8461" width="13.77734375" style="1637" customWidth="1"/>
    <col min="8462" max="8704" width="9" style="1637"/>
    <col min="8705" max="8705" width="4.88671875" style="1637" customWidth="1"/>
    <col min="8706" max="8706" width="13.21875" style="1637" customWidth="1"/>
    <col min="8707" max="8707" width="15.6640625" style="1637" customWidth="1"/>
    <col min="8708" max="8708" width="9.33203125" style="1637" bestFit="1" customWidth="1"/>
    <col min="8709" max="8709" width="13.4414062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09375" style="1637" customWidth="1"/>
    <col min="8717" max="8717" width="13.77734375" style="1637" customWidth="1"/>
    <col min="8718" max="8960" width="9" style="1637"/>
    <col min="8961" max="8961" width="4.88671875" style="1637" customWidth="1"/>
    <col min="8962" max="8962" width="13.21875" style="1637" customWidth="1"/>
    <col min="8963" max="8963" width="15.6640625" style="1637" customWidth="1"/>
    <col min="8964" max="8964" width="9.33203125" style="1637" bestFit="1" customWidth="1"/>
    <col min="8965" max="8965" width="13.4414062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09375" style="1637" customWidth="1"/>
    <col min="8973" max="8973" width="13.77734375" style="1637" customWidth="1"/>
    <col min="8974" max="9216" width="9" style="1637"/>
    <col min="9217" max="9217" width="4.88671875" style="1637" customWidth="1"/>
    <col min="9218" max="9218" width="13.21875" style="1637" customWidth="1"/>
    <col min="9219" max="9219" width="15.6640625" style="1637" customWidth="1"/>
    <col min="9220" max="9220" width="9.33203125" style="1637" bestFit="1" customWidth="1"/>
    <col min="9221" max="9221" width="13.4414062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09375" style="1637" customWidth="1"/>
    <col min="9229" max="9229" width="13.77734375" style="1637" customWidth="1"/>
    <col min="9230" max="9472" width="9" style="1637"/>
    <col min="9473" max="9473" width="4.88671875" style="1637" customWidth="1"/>
    <col min="9474" max="9474" width="13.21875" style="1637" customWidth="1"/>
    <col min="9475" max="9475" width="15.6640625" style="1637" customWidth="1"/>
    <col min="9476" max="9476" width="9.33203125" style="1637" bestFit="1" customWidth="1"/>
    <col min="9477" max="9477" width="13.4414062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09375" style="1637" customWidth="1"/>
    <col min="9485" max="9485" width="13.77734375" style="1637" customWidth="1"/>
    <col min="9486" max="9728" width="9" style="1637"/>
    <col min="9729" max="9729" width="4.88671875" style="1637" customWidth="1"/>
    <col min="9730" max="9730" width="13.21875" style="1637" customWidth="1"/>
    <col min="9731" max="9731" width="15.6640625" style="1637" customWidth="1"/>
    <col min="9732" max="9732" width="9.33203125" style="1637" bestFit="1" customWidth="1"/>
    <col min="9733" max="9733" width="13.4414062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09375" style="1637" customWidth="1"/>
    <col min="9741" max="9741" width="13.77734375" style="1637" customWidth="1"/>
    <col min="9742" max="9984" width="9" style="1637"/>
    <col min="9985" max="9985" width="4.88671875" style="1637" customWidth="1"/>
    <col min="9986" max="9986" width="13.21875" style="1637" customWidth="1"/>
    <col min="9987" max="9987" width="15.6640625" style="1637" customWidth="1"/>
    <col min="9988" max="9988" width="9.33203125" style="1637" bestFit="1" customWidth="1"/>
    <col min="9989" max="9989" width="13.4414062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09375" style="1637" customWidth="1"/>
    <col min="9997" max="9997" width="13.77734375" style="1637" customWidth="1"/>
    <col min="9998" max="10240" width="9" style="1637"/>
    <col min="10241" max="10241" width="4.88671875" style="1637" customWidth="1"/>
    <col min="10242" max="10242" width="13.21875" style="1637" customWidth="1"/>
    <col min="10243" max="10243" width="15.6640625" style="1637" customWidth="1"/>
    <col min="10244" max="10244" width="9.33203125" style="1637" bestFit="1" customWidth="1"/>
    <col min="10245" max="10245" width="13.4414062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09375" style="1637" customWidth="1"/>
    <col min="10253" max="10253" width="13.77734375" style="1637" customWidth="1"/>
    <col min="10254" max="10496" width="9" style="1637"/>
    <col min="10497" max="10497" width="4.88671875" style="1637" customWidth="1"/>
    <col min="10498" max="10498" width="13.21875" style="1637" customWidth="1"/>
    <col min="10499" max="10499" width="15.6640625" style="1637" customWidth="1"/>
    <col min="10500" max="10500" width="9.33203125" style="1637" bestFit="1" customWidth="1"/>
    <col min="10501" max="10501" width="13.4414062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09375" style="1637" customWidth="1"/>
    <col min="10509" max="10509" width="13.77734375" style="1637" customWidth="1"/>
    <col min="10510" max="10752" width="9" style="1637"/>
    <col min="10753" max="10753" width="4.88671875" style="1637" customWidth="1"/>
    <col min="10754" max="10754" width="13.21875" style="1637" customWidth="1"/>
    <col min="10755" max="10755" width="15.6640625" style="1637" customWidth="1"/>
    <col min="10756" max="10756" width="9.33203125" style="1637" bestFit="1" customWidth="1"/>
    <col min="10757" max="10757" width="13.4414062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09375" style="1637" customWidth="1"/>
    <col min="10765" max="10765" width="13.77734375" style="1637" customWidth="1"/>
    <col min="10766" max="11008" width="9" style="1637"/>
    <col min="11009" max="11009" width="4.88671875" style="1637" customWidth="1"/>
    <col min="11010" max="11010" width="13.21875" style="1637" customWidth="1"/>
    <col min="11011" max="11011" width="15.6640625" style="1637" customWidth="1"/>
    <col min="11012" max="11012" width="9.33203125" style="1637" bestFit="1" customWidth="1"/>
    <col min="11013" max="11013" width="13.4414062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09375" style="1637" customWidth="1"/>
    <col min="11021" max="11021" width="13.77734375" style="1637" customWidth="1"/>
    <col min="11022" max="11264" width="9" style="1637"/>
    <col min="11265" max="11265" width="4.88671875" style="1637" customWidth="1"/>
    <col min="11266" max="11266" width="13.21875" style="1637" customWidth="1"/>
    <col min="11267" max="11267" width="15.6640625" style="1637" customWidth="1"/>
    <col min="11268" max="11268" width="9.33203125" style="1637" bestFit="1" customWidth="1"/>
    <col min="11269" max="11269" width="13.4414062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09375" style="1637" customWidth="1"/>
    <col min="11277" max="11277" width="13.77734375" style="1637" customWidth="1"/>
    <col min="11278" max="11520" width="9" style="1637"/>
    <col min="11521" max="11521" width="4.88671875" style="1637" customWidth="1"/>
    <col min="11522" max="11522" width="13.21875" style="1637" customWidth="1"/>
    <col min="11523" max="11523" width="15.6640625" style="1637" customWidth="1"/>
    <col min="11524" max="11524" width="9.33203125" style="1637" bestFit="1" customWidth="1"/>
    <col min="11525" max="11525" width="13.4414062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09375" style="1637" customWidth="1"/>
    <col min="11533" max="11533" width="13.77734375" style="1637" customWidth="1"/>
    <col min="11534" max="11776" width="9" style="1637"/>
    <col min="11777" max="11777" width="4.88671875" style="1637" customWidth="1"/>
    <col min="11778" max="11778" width="13.21875" style="1637" customWidth="1"/>
    <col min="11779" max="11779" width="15.6640625" style="1637" customWidth="1"/>
    <col min="11780" max="11780" width="9.33203125" style="1637" bestFit="1" customWidth="1"/>
    <col min="11781" max="11781" width="13.4414062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09375" style="1637" customWidth="1"/>
    <col min="11789" max="11789" width="13.77734375" style="1637" customWidth="1"/>
    <col min="11790" max="12032" width="9" style="1637"/>
    <col min="12033" max="12033" width="4.88671875" style="1637" customWidth="1"/>
    <col min="12034" max="12034" width="13.21875" style="1637" customWidth="1"/>
    <col min="12035" max="12035" width="15.6640625" style="1637" customWidth="1"/>
    <col min="12036" max="12036" width="9.33203125" style="1637" bestFit="1" customWidth="1"/>
    <col min="12037" max="12037" width="13.4414062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09375" style="1637" customWidth="1"/>
    <col min="12045" max="12045" width="13.77734375" style="1637" customWidth="1"/>
    <col min="12046" max="12288" width="9" style="1637"/>
    <col min="12289" max="12289" width="4.88671875" style="1637" customWidth="1"/>
    <col min="12290" max="12290" width="13.21875" style="1637" customWidth="1"/>
    <col min="12291" max="12291" width="15.6640625" style="1637" customWidth="1"/>
    <col min="12292" max="12292" width="9.33203125" style="1637" bestFit="1" customWidth="1"/>
    <col min="12293" max="12293" width="13.4414062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09375" style="1637" customWidth="1"/>
    <col min="12301" max="12301" width="13.77734375" style="1637" customWidth="1"/>
    <col min="12302" max="12544" width="9" style="1637"/>
    <col min="12545" max="12545" width="4.88671875" style="1637" customWidth="1"/>
    <col min="12546" max="12546" width="13.21875" style="1637" customWidth="1"/>
    <col min="12547" max="12547" width="15.6640625" style="1637" customWidth="1"/>
    <col min="12548" max="12548" width="9.33203125" style="1637" bestFit="1" customWidth="1"/>
    <col min="12549" max="12549" width="13.4414062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09375" style="1637" customWidth="1"/>
    <col min="12557" max="12557" width="13.77734375" style="1637" customWidth="1"/>
    <col min="12558" max="12800" width="9" style="1637"/>
    <col min="12801" max="12801" width="4.88671875" style="1637" customWidth="1"/>
    <col min="12802" max="12802" width="13.21875" style="1637" customWidth="1"/>
    <col min="12803" max="12803" width="15.6640625" style="1637" customWidth="1"/>
    <col min="12804" max="12804" width="9.33203125" style="1637" bestFit="1" customWidth="1"/>
    <col min="12805" max="12805" width="13.4414062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09375" style="1637" customWidth="1"/>
    <col min="12813" max="12813" width="13.77734375" style="1637" customWidth="1"/>
    <col min="12814" max="13056" width="9" style="1637"/>
    <col min="13057" max="13057" width="4.88671875" style="1637" customWidth="1"/>
    <col min="13058" max="13058" width="13.21875" style="1637" customWidth="1"/>
    <col min="13059" max="13059" width="15.6640625" style="1637" customWidth="1"/>
    <col min="13060" max="13060" width="9.33203125" style="1637" bestFit="1" customWidth="1"/>
    <col min="13061" max="13061" width="13.4414062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09375" style="1637" customWidth="1"/>
    <col min="13069" max="13069" width="13.77734375" style="1637" customWidth="1"/>
    <col min="13070" max="13312" width="9" style="1637"/>
    <col min="13313" max="13313" width="4.88671875" style="1637" customWidth="1"/>
    <col min="13314" max="13314" width="13.21875" style="1637" customWidth="1"/>
    <col min="13315" max="13315" width="15.6640625" style="1637" customWidth="1"/>
    <col min="13316" max="13316" width="9.33203125" style="1637" bestFit="1" customWidth="1"/>
    <col min="13317" max="13317" width="13.4414062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09375" style="1637" customWidth="1"/>
    <col min="13325" max="13325" width="13.77734375" style="1637" customWidth="1"/>
    <col min="13326" max="13568" width="9" style="1637"/>
    <col min="13569" max="13569" width="4.88671875" style="1637" customWidth="1"/>
    <col min="13570" max="13570" width="13.21875" style="1637" customWidth="1"/>
    <col min="13571" max="13571" width="15.6640625" style="1637" customWidth="1"/>
    <col min="13572" max="13572" width="9.33203125" style="1637" bestFit="1" customWidth="1"/>
    <col min="13573" max="13573" width="13.4414062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09375" style="1637" customWidth="1"/>
    <col min="13581" max="13581" width="13.77734375" style="1637" customWidth="1"/>
    <col min="13582" max="13824" width="9" style="1637"/>
    <col min="13825" max="13825" width="4.88671875" style="1637" customWidth="1"/>
    <col min="13826" max="13826" width="13.21875" style="1637" customWidth="1"/>
    <col min="13827" max="13827" width="15.6640625" style="1637" customWidth="1"/>
    <col min="13828" max="13828" width="9.33203125" style="1637" bestFit="1" customWidth="1"/>
    <col min="13829" max="13829" width="13.4414062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09375" style="1637" customWidth="1"/>
    <col min="13837" max="13837" width="13.77734375" style="1637" customWidth="1"/>
    <col min="13838" max="14080" width="9" style="1637"/>
    <col min="14081" max="14081" width="4.88671875" style="1637" customWidth="1"/>
    <col min="14082" max="14082" width="13.21875" style="1637" customWidth="1"/>
    <col min="14083" max="14083" width="15.6640625" style="1637" customWidth="1"/>
    <col min="14084" max="14084" width="9.33203125" style="1637" bestFit="1" customWidth="1"/>
    <col min="14085" max="14085" width="13.4414062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09375" style="1637" customWidth="1"/>
    <col min="14093" max="14093" width="13.77734375" style="1637" customWidth="1"/>
    <col min="14094" max="14336" width="9" style="1637"/>
    <col min="14337" max="14337" width="4.88671875" style="1637" customWidth="1"/>
    <col min="14338" max="14338" width="13.21875" style="1637" customWidth="1"/>
    <col min="14339" max="14339" width="15.6640625" style="1637" customWidth="1"/>
    <col min="14340" max="14340" width="9.33203125" style="1637" bestFit="1" customWidth="1"/>
    <col min="14341" max="14341" width="13.4414062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09375" style="1637" customWidth="1"/>
    <col min="14349" max="14349" width="13.77734375" style="1637" customWidth="1"/>
    <col min="14350" max="14592" width="9" style="1637"/>
    <col min="14593" max="14593" width="4.88671875" style="1637" customWidth="1"/>
    <col min="14594" max="14594" width="13.21875" style="1637" customWidth="1"/>
    <col min="14595" max="14595" width="15.6640625" style="1637" customWidth="1"/>
    <col min="14596" max="14596" width="9.33203125" style="1637" bestFit="1" customWidth="1"/>
    <col min="14597" max="14597" width="13.4414062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09375" style="1637" customWidth="1"/>
    <col min="14605" max="14605" width="13.77734375" style="1637" customWidth="1"/>
    <col min="14606" max="14848" width="9" style="1637"/>
    <col min="14849" max="14849" width="4.88671875" style="1637" customWidth="1"/>
    <col min="14850" max="14850" width="13.21875" style="1637" customWidth="1"/>
    <col min="14851" max="14851" width="15.6640625" style="1637" customWidth="1"/>
    <col min="14852" max="14852" width="9.33203125" style="1637" bestFit="1" customWidth="1"/>
    <col min="14853" max="14853" width="13.4414062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09375" style="1637" customWidth="1"/>
    <col min="14861" max="14861" width="13.77734375" style="1637" customWidth="1"/>
    <col min="14862" max="15104" width="9" style="1637"/>
    <col min="15105" max="15105" width="4.88671875" style="1637" customWidth="1"/>
    <col min="15106" max="15106" width="13.21875" style="1637" customWidth="1"/>
    <col min="15107" max="15107" width="15.6640625" style="1637" customWidth="1"/>
    <col min="15108" max="15108" width="9.33203125" style="1637" bestFit="1" customWidth="1"/>
    <col min="15109" max="15109" width="13.4414062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09375" style="1637" customWidth="1"/>
    <col min="15117" max="15117" width="13.77734375" style="1637" customWidth="1"/>
    <col min="15118" max="15360" width="9" style="1637"/>
    <col min="15361" max="15361" width="4.88671875" style="1637" customWidth="1"/>
    <col min="15362" max="15362" width="13.21875" style="1637" customWidth="1"/>
    <col min="15363" max="15363" width="15.6640625" style="1637" customWidth="1"/>
    <col min="15364" max="15364" width="9.33203125" style="1637" bestFit="1" customWidth="1"/>
    <col min="15365" max="15365" width="13.4414062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09375" style="1637" customWidth="1"/>
    <col min="15373" max="15373" width="13.77734375" style="1637" customWidth="1"/>
    <col min="15374" max="15616" width="9" style="1637"/>
    <col min="15617" max="15617" width="4.88671875" style="1637" customWidth="1"/>
    <col min="15618" max="15618" width="13.21875" style="1637" customWidth="1"/>
    <col min="15619" max="15619" width="15.6640625" style="1637" customWidth="1"/>
    <col min="15620" max="15620" width="9.33203125" style="1637" bestFit="1" customWidth="1"/>
    <col min="15621" max="15621" width="13.4414062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09375" style="1637" customWidth="1"/>
    <col min="15629" max="15629" width="13.77734375" style="1637" customWidth="1"/>
    <col min="15630" max="15872" width="9" style="1637"/>
    <col min="15873" max="15873" width="4.88671875" style="1637" customWidth="1"/>
    <col min="15874" max="15874" width="13.21875" style="1637" customWidth="1"/>
    <col min="15875" max="15875" width="15.6640625" style="1637" customWidth="1"/>
    <col min="15876" max="15876" width="9.33203125" style="1637" bestFit="1" customWidth="1"/>
    <col min="15877" max="15877" width="13.4414062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09375" style="1637" customWidth="1"/>
    <col min="15885" max="15885" width="13.77734375" style="1637" customWidth="1"/>
    <col min="15886" max="16128" width="9" style="1637"/>
    <col min="16129" max="16129" width="4.88671875" style="1637" customWidth="1"/>
    <col min="16130" max="16130" width="13.21875" style="1637" customWidth="1"/>
    <col min="16131" max="16131" width="15.6640625" style="1637" customWidth="1"/>
    <col min="16132" max="16132" width="9.33203125" style="1637" bestFit="1" customWidth="1"/>
    <col min="16133" max="16133" width="13.4414062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09375" style="1637" customWidth="1"/>
    <col min="16141" max="16141" width="13.77734375" style="1637" customWidth="1"/>
    <col min="16142" max="16384" width="9" style="1637"/>
  </cols>
  <sheetData>
    <row r="1" spans="1:257" s="1701" customFormat="1" ht="15" thickBot="1">
      <c r="A1" s="1695"/>
      <c r="B1" s="1702" t="s">
        <v>1300</v>
      </c>
      <c r="C1" s="1696">
        <f>项目基本情况!D3</f>
        <v>43269</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6"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399999999999999">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2">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31.2">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8">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1372</v>
      </c>
      <c r="E1" s="1778" t="s">
        <v>1376</v>
      </c>
      <c r="F1" s="1779" t="s">
        <v>1380</v>
      </c>
    </row>
    <row r="2" spans="1:13" ht="19.8">
      <c r="A2" s="1785" t="s">
        <v>1373</v>
      </c>
    </row>
    <row r="3" spans="1:13" ht="15.6">
      <c r="A3" s="1786" t="s">
        <v>1374</v>
      </c>
    </row>
    <row r="4" spans="1:13">
      <c r="A4" s="1776" t="s">
        <v>1375</v>
      </c>
      <c r="B4" s="1781" t="s">
        <v>1377</v>
      </c>
      <c r="C4" s="1782"/>
      <c r="D4" s="1783"/>
      <c r="E4" s="1781" t="s">
        <v>27</v>
      </c>
      <c r="F4" s="1782"/>
      <c r="G4" s="1783"/>
      <c r="H4" s="1781" t="s">
        <v>1378</v>
      </c>
      <c r="I4" s="1782"/>
      <c r="J4" s="1783"/>
      <c r="K4" s="1781" t="s">
        <v>6</v>
      </c>
      <c r="L4" s="1782"/>
      <c r="M4" s="1783"/>
    </row>
    <row r="5" spans="1:13">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57" t="str">
        <f>IF(项目基本情况!B9="房地产市场价值","估价结果一览表","结果表-2")</f>
        <v>结果表-2</v>
      </c>
      <c r="B1" s="2957"/>
      <c r="C1" s="2957"/>
      <c r="D1" s="2957"/>
      <c r="E1" s="2957"/>
      <c r="F1" s="2957"/>
      <c r="G1" s="2957"/>
      <c r="H1" s="2957"/>
      <c r="I1" s="2957"/>
    </row>
    <row r="2" spans="1:9" ht="30" customHeight="1" thickTop="1">
      <c r="A2" s="2958" t="s">
        <v>1641</v>
      </c>
      <c r="B2" s="2958" t="s">
        <v>1642</v>
      </c>
      <c r="C2" s="2958" t="s">
        <v>1643</v>
      </c>
      <c r="D2" s="2958" t="str">
        <f>结果表!D116</f>
        <v>出让国有建设用地使用权价值</v>
      </c>
      <c r="E2" s="2958"/>
      <c r="F2" s="2958" t="str">
        <f>结果表!F116</f>
        <v>在建建筑物价值</v>
      </c>
      <c r="G2" s="2958"/>
      <c r="H2" s="2958" t="str">
        <f>IF(项目基本情况!B9="房地产市场价值","房地产市场价值","房地产价值")</f>
        <v>房地产价值</v>
      </c>
      <c r="I2" s="2958"/>
    </row>
    <row r="3" spans="1:9" ht="15.6">
      <c r="A3" s="2959"/>
      <c r="B3" s="2959"/>
      <c r="C3" s="2959"/>
      <c r="D3" s="1047" t="s">
        <v>1638</v>
      </c>
      <c r="E3" s="1047" t="s">
        <v>1644</v>
      </c>
      <c r="F3" s="1047" t="s">
        <v>1638</v>
      </c>
      <c r="G3" s="1047" t="s">
        <v>1639</v>
      </c>
      <c r="H3" s="1047" t="s">
        <v>1638</v>
      </c>
      <c r="I3" s="1047" t="s">
        <v>1639</v>
      </c>
    </row>
    <row r="4" spans="1:9" ht="30">
      <c r="A4" s="1975" t="str">
        <f>项目基本情况!S2</f>
        <v>北京市丰台区右安门外玉林里45号楼房地产</v>
      </c>
      <c r="B4" s="1047">
        <f>项目基本情况!C17</f>
        <v>7727.4000000000015</v>
      </c>
      <c r="C4" s="1047">
        <f>项目基本情况!C18</f>
        <v>1742.42</v>
      </c>
      <c r="D4" s="1047">
        <f ca="1">结果表!D118</f>
        <v>11834</v>
      </c>
      <c r="E4" s="1047">
        <f ca="1">结果表!E118</f>
        <v>15315</v>
      </c>
      <c r="F4" s="1047">
        <f ca="1">结果表!F118</f>
        <v>2187</v>
      </c>
      <c r="G4" s="1047">
        <f ca="1">结果表!G118</f>
        <v>2830</v>
      </c>
      <c r="H4" s="1047">
        <f ca="1">结果表!H118</f>
        <v>14021</v>
      </c>
      <c r="I4" s="1047">
        <f ca="1">结果表!I118</f>
        <v>18145</v>
      </c>
    </row>
    <row r="5" spans="1:9" ht="30" customHeight="1">
      <c r="A5" s="2959" t="s">
        <v>1640</v>
      </c>
      <c r="B5" s="2959"/>
      <c r="C5" s="2959"/>
      <c r="D5" s="2960" t="str">
        <f ca="1">结果表!D119</f>
        <v>壹亿壹仟捌佰叁拾肆万元整</v>
      </c>
      <c r="E5" s="2960"/>
      <c r="F5" s="2960" t="str">
        <f ca="1">结果表!F119</f>
        <v>贰仟壹佰捌拾柒万元整</v>
      </c>
      <c r="G5" s="2960"/>
      <c r="H5" s="2960" t="str">
        <f ca="1">结果表!H119</f>
        <v>壹亿肆仟零贰拾壹万元整</v>
      </c>
      <c r="I5" s="2960"/>
    </row>
    <row r="6" spans="1:9" ht="15.6">
      <c r="A6" s="2961" t="str">
        <f>结果表!A120</f>
        <v>估价师知悉的法定优先受偿款</v>
      </c>
      <c r="B6" s="2961"/>
      <c r="C6" s="2961"/>
      <c r="D6" s="2961">
        <f>结果表!D120</f>
        <v>0</v>
      </c>
      <c r="E6" s="2961"/>
      <c r="F6" s="2961"/>
      <c r="G6" s="2961"/>
      <c r="H6" s="2961"/>
      <c r="I6" s="2961"/>
    </row>
    <row r="7" spans="1:9" ht="15">
      <c r="A7" s="2959" t="s">
        <v>1640</v>
      </c>
      <c r="B7" s="2959"/>
      <c r="C7" s="2959"/>
      <c r="D7" s="2962" t="str">
        <f>结果表!D121</f>
        <v>零元整</v>
      </c>
      <c r="E7" s="2963"/>
      <c r="F7" s="2963"/>
      <c r="G7" s="2963"/>
      <c r="H7" s="2963"/>
      <c r="I7" s="2964"/>
    </row>
    <row r="8" spans="1:9" ht="15.6">
      <c r="A8" s="2961" t="str">
        <f>结果表!A122</f>
        <v>房地产抵押价值</v>
      </c>
      <c r="B8" s="2961"/>
      <c r="C8" s="2961"/>
      <c r="D8" s="2961">
        <f ca="1">结果表!D122</f>
        <v>14021</v>
      </c>
      <c r="E8" s="2961"/>
      <c r="F8" s="2961"/>
      <c r="G8" s="2961"/>
      <c r="H8" s="2961"/>
      <c r="I8" s="2961"/>
    </row>
    <row r="9" spans="1:9" ht="15">
      <c r="A9" s="2959" t="s">
        <v>1640</v>
      </c>
      <c r="B9" s="2959"/>
      <c r="C9" s="2959"/>
      <c r="D9" s="2960" t="str">
        <f ca="1">结果表!D123</f>
        <v>壹亿肆仟零贰拾壹万元整</v>
      </c>
      <c r="E9" s="2960"/>
      <c r="F9" s="2960"/>
      <c r="G9" s="2960"/>
      <c r="H9" s="2960"/>
      <c r="I9" s="2960"/>
    </row>
    <row r="10" spans="1:9" ht="15.6">
      <c r="A10" s="2961" t="str">
        <f>结果表!A124</f>
        <v/>
      </c>
      <c r="B10" s="2961"/>
      <c r="C10" s="2961"/>
      <c r="D10" s="2961" t="str">
        <f>结果表!D124</f>
        <v>——</v>
      </c>
      <c r="E10" s="2961"/>
      <c r="F10" s="2961"/>
      <c r="G10" s="2961"/>
      <c r="H10" s="2961"/>
      <c r="I10" s="2961"/>
    </row>
    <row r="11" spans="1:9" ht="15">
      <c r="A11" s="2959" t="s">
        <v>1640</v>
      </c>
      <c r="B11" s="2959"/>
      <c r="C11" s="2959"/>
      <c r="D11" s="2960" t="e">
        <f>结果表!D125</f>
        <v>#VALUE!</v>
      </c>
      <c r="E11" s="2960"/>
      <c r="F11" s="2960"/>
      <c r="G11" s="2960"/>
      <c r="H11" s="2960"/>
      <c r="I11" s="2960"/>
    </row>
    <row r="12" spans="1:9" ht="15.6">
      <c r="A12" s="2961" t="str">
        <f>结果表!A126</f>
        <v/>
      </c>
      <c r="B12" s="2961"/>
      <c r="C12" s="2961"/>
      <c r="D12" s="2961" t="str">
        <f>结果表!D126</f>
        <v>——</v>
      </c>
      <c r="E12" s="2961"/>
      <c r="F12" s="2961"/>
      <c r="G12" s="2961"/>
      <c r="H12" s="2961"/>
      <c r="I12" s="2961"/>
    </row>
    <row r="13" spans="1:9" ht="15.6" thickBot="1">
      <c r="A13" s="2965" t="s">
        <v>1640</v>
      </c>
      <c r="B13" s="2965"/>
      <c r="C13" s="2965"/>
      <c r="D13" s="2966" t="e">
        <f>结果表!D127</f>
        <v>#VALUE!</v>
      </c>
      <c r="E13" s="2966"/>
      <c r="F13" s="2966"/>
      <c r="G13" s="2966"/>
      <c r="H13" s="2966"/>
      <c r="I13" s="2966"/>
    </row>
    <row r="14" spans="1:9" ht="14.4" thickTop="1">
      <c r="A14" s="2967" t="s">
        <v>1645</v>
      </c>
      <c r="B14" s="2967"/>
      <c r="C14" s="2967"/>
      <c r="D14" s="2967"/>
      <c r="E14" s="2967"/>
      <c r="F14" s="2967"/>
      <c r="G14" s="2967"/>
      <c r="H14" s="2967"/>
      <c r="I14" s="2967"/>
    </row>
    <row r="16" spans="1:9" ht="17.399999999999999">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2968" t="s">
        <v>1662</v>
      </c>
      <c r="B1" s="2968"/>
      <c r="C1" s="2968"/>
      <c r="D1" s="2968"/>
    </row>
    <row r="2" spans="1:4" ht="17.399999999999999">
      <c r="A2" s="2969" t="s">
        <v>1646</v>
      </c>
      <c r="B2" s="2969"/>
      <c r="C2" s="2969"/>
      <c r="D2" s="2969"/>
    </row>
    <row r="3" spans="1:4" ht="17.399999999999999">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7.399999999999999">
      <c r="A6" s="2969" t="s">
        <v>1652</v>
      </c>
      <c r="B6" s="2969"/>
      <c r="C6" s="2969"/>
      <c r="D6" s="2969"/>
    </row>
    <row r="7" spans="1:4" ht="17.399999999999999">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7.399999999999999">
      <c r="A10" s="1986" t="s">
        <v>1654</v>
      </c>
      <c r="B10" s="728"/>
      <c r="C10" s="728"/>
      <c r="D10" s="728"/>
    </row>
    <row r="11" spans="1:4" ht="30" customHeight="1">
      <c r="A11" s="2970" t="s">
        <v>1655</v>
      </c>
      <c r="B11" s="2971"/>
      <c r="C11" s="2971"/>
      <c r="D11" s="2971"/>
    </row>
    <row r="12" spans="1:4" ht="15.6">
      <c r="A12" s="2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2"/>
      <c r="C12" s="2972"/>
      <c r="D12" s="2972"/>
    </row>
    <row r="13" spans="1:4" ht="30" customHeight="1">
      <c r="A13" s="29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2"/>
      <c r="C13" s="2972"/>
      <c r="D13" s="2972"/>
    </row>
    <row r="14" spans="1:4" ht="15.75" customHeight="1">
      <c r="A14" s="2971" t="str">
        <f>IF(项目基本情况!B8="抵押","4.本次评估估价师所知悉的法定优先受偿款情况说明如下：","——")</f>
        <v>4.本次评估估价师所知悉的法定优先受偿款情况说明如下：</v>
      </c>
      <c r="B14" s="2972"/>
      <c r="C14" s="2972"/>
      <c r="D14" s="2972"/>
    </row>
    <row r="15" spans="1:4" ht="42" customHeight="1">
      <c r="A15" s="29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1"/>
      <c r="C15" s="2971"/>
      <c r="D15" s="2971"/>
    </row>
    <row r="16" spans="1:4" ht="30" customHeight="1">
      <c r="A16" s="2974" t="s">
        <v>1656</v>
      </c>
      <c r="B16" s="2974"/>
      <c r="C16" s="2974"/>
      <c r="D16" s="2974"/>
    </row>
    <row r="17" spans="1:4" ht="144" customHeight="1">
      <c r="A17" s="2974" t="s">
        <v>1657</v>
      </c>
      <c r="B17" s="2974"/>
      <c r="C17" s="2974"/>
      <c r="D17" s="2974"/>
    </row>
    <row r="18" spans="1:4" ht="15.75" customHeight="1">
      <c r="A18" s="2971" t="str">
        <f>IF(项目基本情况!B8="抵押",结果表!K120,"——")</f>
        <v>故，本次评估不存在估价师知悉的法定优先受偿款</v>
      </c>
      <c r="B18" s="2971"/>
      <c r="C18" s="2971"/>
      <c r="D18" s="2971"/>
    </row>
    <row r="19" spans="1:4" ht="46.5" customHeight="1">
      <c r="A19" s="2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1"/>
      <c r="C19" s="2971"/>
      <c r="D19" s="2971"/>
    </row>
    <row r="20" spans="1:4" ht="57.75" customHeight="1">
      <c r="A20" s="2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1"/>
      <c r="C20" s="2971"/>
      <c r="D20" s="2971"/>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1658</v>
      </c>
      <c r="B22" s="2976"/>
      <c r="C22" s="2976"/>
      <c r="D22" s="2976"/>
    </row>
    <row r="23" spans="1:4">
      <c r="A23" s="1987"/>
      <c r="B23" s="1959"/>
      <c r="C23" s="1959"/>
      <c r="D23" s="1959"/>
    </row>
    <row r="24" spans="1:4">
      <c r="A24" s="1987"/>
      <c r="B24" s="1959"/>
      <c r="C24" s="1959"/>
      <c r="D24" s="1959"/>
    </row>
    <row r="25" spans="1:4" ht="17.399999999999999">
      <c r="A25" s="1988" t="s">
        <v>1659</v>
      </c>
    </row>
    <row r="26" spans="1:4" ht="17.399999999999999">
      <c r="A26" s="1957"/>
    </row>
    <row r="27" spans="1:4" ht="17.399999999999999">
      <c r="A27" s="1957" t="s">
        <v>1660</v>
      </c>
    </row>
    <row r="30" spans="1:4" ht="17.399999999999999">
      <c r="D30" s="1988" t="s">
        <v>1661</v>
      </c>
    </row>
    <row r="31" spans="1:4" ht="13.5" customHeight="1">
      <c r="C31" s="2973">
        <v>42551</v>
      </c>
      <c r="D31" s="29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870</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5" customWidth="1"/>
    <col min="2" max="16384" width="14.44140625" style="1977"/>
  </cols>
  <sheetData>
    <row r="1" spans="1:7" s="1992" customFormat="1" ht="17.399999999999999">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4.4">
      <c r="A15" s="2982" t="s">
        <v>1669</v>
      </c>
      <c r="B15" s="2977" t="s">
        <v>136</v>
      </c>
      <c r="C15" s="2978"/>
    </row>
    <row r="16" spans="1:7" ht="14.4">
      <c r="A16" s="2983"/>
      <c r="B16" s="2977" t="s">
        <v>69</v>
      </c>
      <c r="C16" s="2978"/>
    </row>
    <row r="17" spans="1:3" ht="14.4">
      <c r="A17" s="2983"/>
      <c r="B17" s="2980" t="s">
        <v>1670</v>
      </c>
      <c r="C17" s="2002" t="s">
        <v>1669</v>
      </c>
    </row>
    <row r="18" spans="1:3" ht="14.4">
      <c r="A18" s="2983"/>
      <c r="B18" s="2980"/>
      <c r="C18" s="2002" t="s">
        <v>1671</v>
      </c>
    </row>
    <row r="19" spans="1:3" ht="14.4">
      <c r="A19" s="2983"/>
      <c r="B19" s="2980"/>
      <c r="C19" s="2002" t="s">
        <v>1672</v>
      </c>
    </row>
    <row r="20" spans="1:3" ht="14.4">
      <c r="A20" s="2984"/>
      <c r="B20" s="2979" t="s">
        <v>1673</v>
      </c>
      <c r="C20" s="2978"/>
    </row>
    <row r="21" spans="1:3" ht="14.4">
      <c r="A21" s="2003" t="s">
        <v>1674</v>
      </c>
      <c r="B21" s="2004"/>
      <c r="C21" s="2005"/>
    </row>
    <row r="22" spans="1:3" ht="14.4">
      <c r="A22" s="2981" t="s">
        <v>1675</v>
      </c>
      <c r="B22" s="2979" t="s">
        <v>1676</v>
      </c>
      <c r="C22" s="2978"/>
    </row>
    <row r="23" spans="1:3" ht="14.4">
      <c r="A23" s="2981"/>
      <c r="B23" s="2979" t="s">
        <v>1677</v>
      </c>
      <c r="C23" s="2978"/>
    </row>
    <row r="24" spans="1:3" ht="14.4">
      <c r="A24" s="2981"/>
      <c r="B24" s="2979" t="s">
        <v>1678</v>
      </c>
      <c r="C24" s="2978"/>
    </row>
    <row r="25" spans="1:3" ht="14.4">
      <c r="A25" s="2981"/>
      <c r="B25" s="2980" t="s">
        <v>1679</v>
      </c>
      <c r="C25" s="2002" t="s">
        <v>1680</v>
      </c>
    </row>
    <row r="26" spans="1:3" ht="14.4">
      <c r="A26" s="2981"/>
      <c r="B26" s="2980"/>
      <c r="C26" s="2002" t="s">
        <v>1681</v>
      </c>
    </row>
    <row r="27" spans="1:3" ht="14.4">
      <c r="A27" s="2981"/>
      <c r="B27" s="2980"/>
      <c r="C27" s="2002" t="s">
        <v>1682</v>
      </c>
    </row>
    <row r="28" spans="1:3" ht="14.4">
      <c r="A28" s="2981"/>
      <c r="B28" s="2980"/>
      <c r="C28" s="2002" t="s">
        <v>1683</v>
      </c>
    </row>
    <row r="29" spans="1:3" ht="14.4">
      <c r="A29" s="2981"/>
      <c r="B29" s="2980"/>
      <c r="C29" s="2002" t="s">
        <v>1684</v>
      </c>
    </row>
    <row r="30" spans="1:3" ht="14.4">
      <c r="A30" s="2981"/>
      <c r="B30" s="2980"/>
      <c r="C30" s="2002" t="s">
        <v>1685</v>
      </c>
    </row>
    <row r="31" spans="1:3" ht="14.4">
      <c r="A31" s="2981"/>
      <c r="B31" s="2980"/>
      <c r="C31" s="2002" t="s">
        <v>1686</v>
      </c>
    </row>
    <row r="32" spans="1:3" ht="14.4">
      <c r="A32" s="2981"/>
      <c r="B32" s="2980"/>
      <c r="C32" s="2002" t="s">
        <v>1687</v>
      </c>
    </row>
    <row r="33" spans="1:3" ht="14.4">
      <c r="A33" s="2981"/>
      <c r="B33" s="2980"/>
      <c r="C33" s="2002" t="s">
        <v>1688</v>
      </c>
    </row>
    <row r="34" spans="1:3">
      <c r="A34" s="2006" t="s">
        <v>76</v>
      </c>
    </row>
    <row r="37" spans="1:3">
      <c r="A37" s="2006" t="s">
        <v>1689</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43299</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t="s">
        <v>3045</v>
      </c>
      <c r="B12" s="1025">
        <v>1120110054</v>
      </c>
      <c r="C12" s="2945">
        <v>43937</v>
      </c>
      <c r="D12" s="1704" t="s">
        <v>3045</v>
      </c>
      <c r="E12" s="1025">
        <v>2008110060</v>
      </c>
      <c r="F12" s="1033">
        <v>47177</v>
      </c>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945">
        <v>44339</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2985" t="s">
        <v>846</v>
      </c>
      <c r="B25" s="2985"/>
      <c r="C25" s="2985"/>
      <c r="D25" s="2985"/>
      <c r="E25" s="2985"/>
      <c r="F25" s="2985"/>
      <c r="G25" s="2985"/>
    </row>
    <row r="26" spans="1:7" s="1028" customFormat="1" ht="24" customHeight="1">
      <c r="A26" s="2986" t="s">
        <v>847</v>
      </c>
      <c r="B26" s="2986"/>
      <c r="C26" s="2987"/>
      <c r="D26" s="2988" t="s">
        <v>848</v>
      </c>
      <c r="E26" s="2986"/>
      <c r="F26" s="2986"/>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Sheet1</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2018-07-18T07:07:27Z</dcterms:modified>
</cp:coreProperties>
</file>