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W22" i="1"/>
  <c r="U20" i="1"/>
  <c r="U19" i="1"/>
  <c r="W21" i="1"/>
  <c r="U21" i="1"/>
  <c r="J25" i="1" l="1"/>
  <c r="K29" i="1" l="1"/>
  <c r="L29" i="1" s="1"/>
  <c r="L26" i="1"/>
  <c r="L25" i="1"/>
  <c r="L24" i="1" s="1"/>
  <c r="J24" i="1"/>
  <c r="J27" i="1" s="1"/>
  <c r="L27" i="1" s="1"/>
  <c r="N21" i="1"/>
  <c r="N6"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2" i="15"/>
  <c r="M22" i="67"/>
  <c r="D6" i="73"/>
  <c r="F36" i="67"/>
  <c r="M26" i="67"/>
  <c r="L47" i="67"/>
  <c r="C76" i="67"/>
  <c r="M23" i="15"/>
  <c r="M6" i="67"/>
  <c r="B11" i="76"/>
  <c r="F16" i="15"/>
  <c r="D4" i="73"/>
  <c r="E2" i="68"/>
  <c r="J15" i="15"/>
  <c r="F7" i="67"/>
  <c r="F6" i="73"/>
  <c r="M9" i="67"/>
  <c r="F3" i="73"/>
  <c r="B10" i="76"/>
  <c r="F26" i="15"/>
  <c r="E11" i="76"/>
  <c r="M26" i="15"/>
  <c r="B13" i="76"/>
  <c r="E9" i="76"/>
  <c r="F40" i="67"/>
  <c r="F20" i="31"/>
  <c r="B8" i="76"/>
  <c r="F42" i="67"/>
  <c r="M23" i="67"/>
  <c r="F7" i="15"/>
  <c r="F13" i="67"/>
  <c r="F36" i="15"/>
  <c r="M24" i="15"/>
  <c r="D7" i="73"/>
  <c r="M22" i="15"/>
  <c r="E8" i="76"/>
  <c r="M29" i="15"/>
  <c r="J15" i="67"/>
  <c r="F13" i="15"/>
  <c r="F6" i="67"/>
  <c r="F38" i="67"/>
  <c r="D5" i="73"/>
  <c r="F38" i="15"/>
  <c r="F5" i="73"/>
  <c r="D3" i="73"/>
  <c r="M8" i="67"/>
  <c r="M8" i="15"/>
  <c r="B12" i="76"/>
  <c r="F37" i="15"/>
  <c r="E7" i="76"/>
  <c r="F43" i="67"/>
  <c r="M28" i="15"/>
  <c r="M9" i="15"/>
  <c r="L47" i="15"/>
  <c r="L48" i="15"/>
  <c r="F8" i="67"/>
  <c r="AO13" i="1"/>
  <c r="E13" i="76"/>
  <c r="M29" i="67"/>
  <c r="M24" i="67"/>
  <c r="M6" i="15"/>
  <c r="B7" i="76"/>
  <c r="M28" i="67"/>
  <c r="F9" i="15"/>
  <c r="F6" i="15"/>
  <c r="F40" i="15"/>
  <c r="C76" i="15"/>
  <c r="F37" i="67"/>
  <c r="F9" i="67"/>
  <c r="E10" i="76"/>
  <c r="F8" i="15"/>
  <c r="B9" i="76"/>
  <c r="E2" i="69"/>
  <c r="F4" i="73"/>
  <c r="E12" i="76"/>
  <c r="F16" i="67"/>
  <c r="F43" i="15"/>
  <c r="F26" i="67"/>
  <c r="F7" i="73"/>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D9" i="69"/>
  <c r="C16" i="15"/>
  <c r="C16" i="67"/>
  <c r="L48" i="67"/>
  <c r="C36" i="69"/>
  <c r="G1" i="73"/>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D10" i="69"/>
  <c r="C34" i="69"/>
  <c r="C17" i="67"/>
  <c r="C17" i="15"/>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19" i="9"/>
  <c r="D2" i="35"/>
  <c r="D2" i="34"/>
  <c r="D2" i="37"/>
  <c r="L51" i="15"/>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C20" i="9"/>
  <c r="D34" i="9"/>
  <c r="AO12" i="1"/>
  <c r="AO6" i="1"/>
  <c r="AO11" i="1"/>
  <c r="AO8" i="1"/>
  <c r="AO9" i="1"/>
  <c r="AO10" i="1"/>
  <c r="D35" i="9"/>
  <c r="D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4" i="74" l="1"/>
  <c r="B6" i="74" s="1"/>
  <c r="D6" i="74" s="1"/>
  <c r="I118" i="9"/>
  <c r="H118" i="9" s="1"/>
  <c r="H101" i="9" s="1"/>
  <c r="F14" i="74"/>
  <c r="B5" i="74"/>
  <c r="D5" i="74" s="1"/>
  <c r="C104" i="9" l="1"/>
  <c r="H119" i="9"/>
  <c r="H5" i="52" s="1"/>
  <c r="H4" i="52"/>
  <c r="C105" i="9"/>
  <c r="I4" i="52"/>
  <c r="H102" i="9"/>
  <c r="D7" i="53" s="1"/>
  <c r="B21" i="72" s="1"/>
  <c r="D5" i="53"/>
  <c r="M48" i="9"/>
  <c r="H107" i="9"/>
  <c r="D45" i="9"/>
  <c r="C5" i="74" l="1"/>
  <c r="D122" i="9"/>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 r="G118" i="9"/>
  <c r="E118" i="9"/>
  <c r="E4" i="52" s="1"/>
  <c r="B48" i="72" s="1"/>
  <c r="F118" i="9"/>
  <c r="F119" i="9" s="1"/>
  <c r="F5" i="52" s="1"/>
  <c r="B53" i="72" s="1"/>
  <c r="G4" i="52"/>
  <c r="B52" i="72"/>
  <c r="D118" i="9" l="1"/>
  <c r="D4" i="52" s="1"/>
  <c r="B47" i="72" s="1"/>
  <c r="F4" i="52"/>
  <c r="B51"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<sst xmlns="http://schemas.openxmlformats.org/spreadsheetml/2006/main" count="8296" uniqueCount="3486">
  <si>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</si>
  <si>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</si>
  <si>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</si>
  <si>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</si>
  <si>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</si>
  <si>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</si>
  <si>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</si>
  <si>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</si>
  <si>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</si>
  <si>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</si>
  <si>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</si>
  <si>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</si>
  <si>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</si>
  <si>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</si>
  <si>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</si>
  <si>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</si>
  <si>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</si>
  <si>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</si>
  <si>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</si>
  <si>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</si>
  <si>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</si>
  <si>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</si>
  <si>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</si>
  <si>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</si>
  <si>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</si>
  <si>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</si>
  <si>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</si>
  <si>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</si>
  <si>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</si>
  <si>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</si>
  <si>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</si>
  <si>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</si>
  <si>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</si>
  <si>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</si>
  <si>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</si>
  <si>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</si>
  <si>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</si>
  <si>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</si>
  <si>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</si>
  <si>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</si>
  <si>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</si>
  <si>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</si>
  <si>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</si>
  <si>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</si>
  <si>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</si>
  <si>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</si>
  <si>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</si>
  <si>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</si>
  <si>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</si>
  <si>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</si>
  <si>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</si>
  <si>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</si>
  <si>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</si>
  <si>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</si>
  <si>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</si>
  <si>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</si>
  <si>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</si>
  <si>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</si>
  <si>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</si>
  <si>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</si>
  <si>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</si>
  <si>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</si>
  <si>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</si>
  <si>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</si>
  <si>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</si>
  <si>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</si>
  <si>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</si>
  <si>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</si>
  <si>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</si>
  <si>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</si>
  <si>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</si>
  <si>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</si>
  <si>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</si>
  <si>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</si>
  <si>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</si>
  <si>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</si>
  <si>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</si>
  <si>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</si>
  <si>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</si>
  <si>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</si>
  <si>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</si>
  <si>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</si>
  <si>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</si>
  <si>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</si>
  <si>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</si>
  <si>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</si>
  <si>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</si>
  <si>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</si>
  <si>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</si>
  <si>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</si>
  <si>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</si>
  <si>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</si>
  <si>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</si>
  <si>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</si>
  <si>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</si>
  <si>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</si>
  <si>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</si>
  <si>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</si>
  <si>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</si>
  <si>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</si>
  <si>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</si>
  <si>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</si>
  <si>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</si>
  <si>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</si>
  <si>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</si>
  <si>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</si>
  <si>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</si>
  <si>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</si>
  <si>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</si>
  <si>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</si>
  <si>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</si>
  <si>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</si>
  <si>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</si>
  <si>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</si>
  <si>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</si>
  <si>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</si>
  <si>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</si>
  <si>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</si>
  <si>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</si>
  <si>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</si>
  <si>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</si>
  <si>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</si>
  <si>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</si>
  <si>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</si>
  <si>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</si>
  <si>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</si>
  <si>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</si>
  <si>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</si>
  <si>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</si>
  <si>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</si>
  <si>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</si>
  <si>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</si>
  <si>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</si>
  <si>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</si>
  <si>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</si>
  <si>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</si>
  <si>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</si>
  <si>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</si>
  <si>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</si>
  <si>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</si>
  <si>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</si>
  <si>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</si>
  <si>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</si>
  <si>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</si>
  <si>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</si>
  <si>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</si>
  <si>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</si>
  <si>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</si>
  <si>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</si>
  <si>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</si>
  <si>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</si>
  <si>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</si>
  <si>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</si>
  <si>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</si>
  <si>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</si>
  <si>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</si>
  <si>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</si>
  <si>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</si>
  <si>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</si>
  <si>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</si>
  <si>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</si>
  <si>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</si>
  <si>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</si>
  <si>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</si>
  <si>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</si>
  <si>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</si>
  <si>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</si>
  <si>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</si>
  <si>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</si>
  <si>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</si>
  <si>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</si>
  <si>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</si>
  <si>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</si>
  <si>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</si>
  <si>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</si>
  <si>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</si>
  <si>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</si>
  <si>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</si>
  <si>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</si>
  <si>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</si>
  <si>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</si>
  <si>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</si>
  <si>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</si>
  <si>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</si>
  <si>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</si>
  <si>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</si>
  <si>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</si>
  <si>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</si>
  <si>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</si>
  <si>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</si>
  <si>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</si>
  <si>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</si>
  <si>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</si>
  <si>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</si>
  <si>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</si>
  <si>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</si>
  <si>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</si>
  <si>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</si>
  <si>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</si>
  <si>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</si>
  <si>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</si>
  <si>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</si>
  <si>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</si>
  <si>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</si>
  <si>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</si>
  <si>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</si>
  <si>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</si>
  <si>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</si>
  <si>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</si>
  <si>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</si>
  <si>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</si>
  <si>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</si>
  <si>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</si>
  <si>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</si>
  <si>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</si>
  <si>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</si>
  <si>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</si>
  <si>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</si>
  <si>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</si>
  <si>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</si>
  <si>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</si>
  <si>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</si>
  <si>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</si>
  <si>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</si>
  <si>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</si>
  <si>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</si>
  <si>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</si>
  <si>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</si>
  <si>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</si>
  <si>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</si>
  <si>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</si>
  <si>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</si>
  <si>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</si>
  <si>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</si>
  <si>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</si>
  <si>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</si>
  <si>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</si>
  <si>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</si>
  <si>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</si>
  <si>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</si>
  <si>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</si>
  <si>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</si>
  <si>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</si>
  <si>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</si>
  <si>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</si>
  <si>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</si>
  <si>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</si>
  <si>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</si>
  <si>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</si>
  <si>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</si>
  <si>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</si>
  <si>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</si>
  <si>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</si>
  <si>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</si>
  <si>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</si>
  <si>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</si>
  <si>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</si>
  <si>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</si>
  <si>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</si>
  <si>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</si>
  <si>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</si>
  <si>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</si>
  <si>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</si>
  <si>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</si>
  <si>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</si>
  <si>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</si>
  <si>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</si>
  <si>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</si>
  <si>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</si>
  <si>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</si>
  <si>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</si>
  <si>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</si>
  <si>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</si>
  <si>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</si>
  <si>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</si>
  <si>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</si>
  <si>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</si>
  <si>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</si>
  <si>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</si>
  <si>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</si>
  <si>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</si>
  <si>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</si>
  <si>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</si>
  <si>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</si>
  <si>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</si>
  <si>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</si>
  <si>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</si>
  <si>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</si>
  <si>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</si>
  <si>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</si>
  <si>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</si>
  <si>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</si>
  <si>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</si>
  <si>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</si>
  <si>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</si>
  <si>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</si>
  <si>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</si>
  <si>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</si>
  <si>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</si>
  <si>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</si>
  <si>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</si>
  <si>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</si>
  <si>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</si>
  <si>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</si>
  <si>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</si>
  <si>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</si>
  <si>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</si>
  <si>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</si>
  <si>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</si>
  <si>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</si>
  <si>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</si>
  <si>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</si>
  <si>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</si>
  <si>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</si>
  <si>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</si>
  <si>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</si>
  <si>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</si>
  <si>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</si>
  <si>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</si>
  <si>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</si>
  <si>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</si>
  <si>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</si>
  <si>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</si>
  <si>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</si>
  <si>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</si>
  <si>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</si>
  <si>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</si>
  <si>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</si>
  <si>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</si>
  <si>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</si>
  <si>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</si>
  <si>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</si>
  <si>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</si>
  <si>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</si>
  <si>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</si>
  <si>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</si>
  <si>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</si>
  <si>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</si>
  <si>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</si>
  <si>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</si>
  <si>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</si>
  <si>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</si>
  <si>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</si>
  <si>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</si>
  <si>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</si>
  <si>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</si>
  <si>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</si>
  <si>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</si>
  <si>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</si>
  <si>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</si>
  <si>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</si>
  <si>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</si>
  <si>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</si>
  <si>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</si>
  <si>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</si>
  <si>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</si>
  <si>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</si>
  <si>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</si>
  <si>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</si>
  <si>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</si>
  <si>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</si>
  <si>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</si>
  <si>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</si>
  <si>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</si>
  <si>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</si>
  <si>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</si>
  <si>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</si>
  <si>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</si>
  <si>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</si>
  <si>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</si>
  <si>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</si>
  <si>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</si>
  <si>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</si>
  <si>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</si>
  <si>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</si>
  <si>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</si>
  <si>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</si>
  <si>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</si>
  <si>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</si>
  <si>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</si>
  <si>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</si>
  <si>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</si>
  <si>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</si>
  <si>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</si>
  <si>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</si>
  <si>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</si>
  <si>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</si>
  <si>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</si>
  <si>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</si>
  <si>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</si>
  <si>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</si>
  <si>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</si>
  <si>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</si>
  <si>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</si>
  <si>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</si>
  <si>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</si>
  <si>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</si>
  <si>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</si>
  <si>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</si>
  <si>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</si>
  <si>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</si>
  <si>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</si>
  <si>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</si>
  <si>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</si>
  <si>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</si>
  <si>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</si>
  <si>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</si>
  <si>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</si>
  <si>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</si>
  <si>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</si>
  <si>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</si>
  <si>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</si>
  <si>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</si>
  <si>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</si>
  <si>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</si>
  <si>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</si>
  <si>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</si>
  <si>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</si>
  <si>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</si>
  <si>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</si>
  <si>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</si>
  <si>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</si>
  <si>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</si>
  <si>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</si>
  <si>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</si>
  <si>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</si>
  <si>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</si>
  <si>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</si>
  <si>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</si>
  <si>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</si>
  <si>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</si>
  <si>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</si>
  <si>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</si>
  <si>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</si>
  <si>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</si>
  <si>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</si>
  <si>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</si>
  <si>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</si>
  <si>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</si>
  <si>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</si>
  <si>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</si>
  <si>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</si>
  <si>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</si>
  <si>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</si>
  <si>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</si>
  <si>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</si>
  <si>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</si>
  <si>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</si>
  <si>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</si>
  <si>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</si>
  <si>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</si>
  <si>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</si>
  <si>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</si>
  <si>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</si>
  <si>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</si>
  <si>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</si>
  <si>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</si>
  <si>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</si>
  <si>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</si>
  <si>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</si>
  <si>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</si>
  <si>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</si>
  <si>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</si>
  <si>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</si>
  <si>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</si>
  <si>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</si>
  <si>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</si>
  <si>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</si>
  <si>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</si>
  <si>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</si>
  <si>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</si>
  <si>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</si>
  <si>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</si>
  <si>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</si>
  <si>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</si>
  <si>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</si>
  <si>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</si>
  <si>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</si>
  <si>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</si>
  <si>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</si>
  <si>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</si>
  <si>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</si>
  <si>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</si>
  <si>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</si>
  <si>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</si>
  <si>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</si>
  <si>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</si>
  <si>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</si>
  <si>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</si>
  <si>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</si>
  <si>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</si>
  <si>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</si>
  <si>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</si>
  <si>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</si>
  <si>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</si>
  <si>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</si>
  <si>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</si>
  <si>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</si>
  <si>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</si>
  <si>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</si>
  <si>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</si>
  <si>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</si>
  <si>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</si>
  <si>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</si>
  <si>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</si>
  <si>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</si>
  <si>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</si>
  <si>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</si>
  <si>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</si>
  <si>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</si>
  <si>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</si>
  <si>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</si>
  <si>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</si>
  <si>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</si>
  <si>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</si>
  <si>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</si>
  <si>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</si>
  <si>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</si>
  <si>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</si>
  <si>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</si>
  <si>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</si>
  <si>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</si>
  <si>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</si>
  <si>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</si>
  <si>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</si>
  <si>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</si>
  <si>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</si>
  <si>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</si>
  <si>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</si>
  <si>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</si>
  <si>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</si>
  <si>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</si>
  <si>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</si>
  <si>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</si>
  <si>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</si>
  <si>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</si>
  <si>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</si>
  <si>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</si>
  <si>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</si>
  <si>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</si>
  <si>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</si>
  <si>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</si>
  <si>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</si>
  <si>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</si>
  <si>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</si>
  <si>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</si>
  <si>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</si>
  <si>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</si>
  <si>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</si>
  <si>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</si>
  <si>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</si>
  <si>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</si>
  <si>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</si>
  <si>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</si>
  <si>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</si>
  <si>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</si>
  <si>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</si>
  <si>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</si>
  <si>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</si>
  <si>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</si>
  <si>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</si>
  <si>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</si>
  <si>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</si>
  <si>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</si>
  <si>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</si>
  <si>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</si>
  <si>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</si>
  <si>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</si>
  <si>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</si>
  <si>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</si>
  <si>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</si>
  <si>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</si>
  <si>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</si>
  <si>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</si>
  <si>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</si>
  <si>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</si>
  <si>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</si>
  <si>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</si>
  <si>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</si>
  <si>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</si>
  <si>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</si>
  <si>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</si>
  <si>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</si>
  <si>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</si>
  <si>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</si>
  <si>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</si>
  <si>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</si>
  <si>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</si>
  <si>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</si>
  <si>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</si>
  <si>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</si>
  <si>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</si>
  <si>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</si>
  <si>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</si>
  <si>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</si>
  <si>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</si>
  <si>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</si>
  <si>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</si>
  <si>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</si>
  <si>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</si>
  <si>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</si>
  <si>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</si>
  <si>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</si>
  <si>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</si>
  <si>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</si>
  <si>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</si>
  <si>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</si>
  <si>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</si>
  <si>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</si>
  <si>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</si>
  <si>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</si>
  <si>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</si>
  <si>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</si>
  <si>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</si>
  <si>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</si>
  <si>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</si>
  <si>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</si>
  <si>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</si>
  <si>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</si>
  <si>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</si>
  <si>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</si>
  <si>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</si>
  <si>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</si>
  <si>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</si>
  <si>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</si>
  <si>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</si>
  <si>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</si>
  <si>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</si>
  <si>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</si>
  <si>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</si>
  <si>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</si>
  <si>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</si>
  <si>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</si>
  <si>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</si>
  <si>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</si>
  <si>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</si>
  <si>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</si>
  <si>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</si>
  <si>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</si>
  <si>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</si>
  <si>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</si>
  <si>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</si>
  <si>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</si>
  <si>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</si>
  <si>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</si>
  <si>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</si>
  <si>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</si>
  <si>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</si>
  <si>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</si>
  <si>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</si>
  <si>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</si>
  <si>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</si>
  <si>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</si>
  <si>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</si>
  <si>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</si>
  <si>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</si>
  <si>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</si>
  <si>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</si>
  <si>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</si>
  <si>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</si>
  <si>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</si>
  <si>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</si>
  <si>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</si>
  <si>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</si>
  <si>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</si>
  <si>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</si>
  <si>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</si>
  <si>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</si>
  <si>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</si>
  <si>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</si>
  <si>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</si>
  <si>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</si>
  <si>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</si>
  <si>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</si>
  <si>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</si>
  <si>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</si>
  <si>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</si>
  <si>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</si>
  <si>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</si>
  <si>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</si>
  <si>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</si>
  <si>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</si>
  <si>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</si>
  <si>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</si>
  <si>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</si>
  <si>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</si>
  <si>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</si>
  <si>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</si>
  <si>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</si>
  <si>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</si>
  <si>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</si>
  <si>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</si>
  <si>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</si>
  <si>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</si>
  <si>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</si>
  <si>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</si>
  <si>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</si>
  <si>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</si>
  <si>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</si>
  <si>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</si>
  <si>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</si>
  <si>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</si>
  <si>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</si>
  <si>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</si>
  <si>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</si>
  <si>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</si>
  <si>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</si>
  <si>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</si>
  <si>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</si>
  <si>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</si>
  <si>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</si>
  <si>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</si>
  <si>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</si>
  <si>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</si>
  <si>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</si>
  <si>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</si>
  <si>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</si>
  <si>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</si>
  <si>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</si>
  <si>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</si>
  <si>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</si>
  <si>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</si>
  <si>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</si>
  <si>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</si>
  <si>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</si>
  <si>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</si>
  <si>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</si>
  <si>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</si>
  <si>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</si>
  <si>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</si>
  <si>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</si>
  <si>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</si>
  <si>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</si>
  <si>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</si>
  <si>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</si>
  <si>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</si>
  <si>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</si>
  <si>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</si>
  <si>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</si>
  <si>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</si>
  <si>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</si>
  <si>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</si>
  <si>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</si>
  <si>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</si>
  <si>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</si>
  <si>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</si>
  <si>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</si>
  <si>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</si>
  <si>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</si>
  <si>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</si>
  <si>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</si>
  <si>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</si>
  <si>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</si>
  <si>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</si>
  <si>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</si>
  <si>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</si>
  <si>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</si>
  <si>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</si>
  <si>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</si>
  <si>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</si>
  <si>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</si>
  <si>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</si>
  <si>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</si>
  <si>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</si>
  <si>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</si>
  <si>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</si>
  <si>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</si>
  <si>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</si>
  <si>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</si>
  <si>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</si>
  <si>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</si>
  <si>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</si>
  <si>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</si>
  <si>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</si>
  <si>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</si>
  <si>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</si>
  <si>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</si>
  <si>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</si>
  <si>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</si>
  <si>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</si>
  <si>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</si>
  <si>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</si>
  <si>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</si>
  <si>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</si>
  <si>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</si>
  <si>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</si>
  <si>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</si>
  <si>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</si>
  <si>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</si>
  <si>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</si>
  <si>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</si>
  <si>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</si>
  <si>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</si>
  <si>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</si>
  <si>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</si>
  <si>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</si>
  <si>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</si>
  <si>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</si>
  <si>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</si>
  <si>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</si>
  <si>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</si>
  <si>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</si>
  <si>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</si>
  <si>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</si>
  <si>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</si>
  <si>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</si>
  <si>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</si>
  <si>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</si>
  <si>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</si>
  <si>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</si>
  <si>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</si>
  <si>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</si>
  <si>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</si>
  <si>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</si>
  <si>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</si>
  <si>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</si>
  <si>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</si>
  <si>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</si>
  <si>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</si>
  <si>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</si>
  <si>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</si>
  <si>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</si>
  <si>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</si>
  <si>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</si>
  <si>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</si>
  <si>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</si>
  <si>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</si>
  <si>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</si>
  <si>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</si>
  <si>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</si>
  <si>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</si>
  <si>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</si>
  <si>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</si>
  <si>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</si>
  <si>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</si>
  <si>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</si>
  <si>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</si>
  <si>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</si>
  <si>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</si>
  <si>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</si>
  <si>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</si>
  <si>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</si>
  <si>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</si>
  <si>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</si>
  <si>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</si>
  <si>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</si>
  <si>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</si>
  <si>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</si>
  <si>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</si>
  <si>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</si>
  <si>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</si>
  <si>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</si>
  <si>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</si>
  <si>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</si>
  <si>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</si>
  <si>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</si>
  <si>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</si>
  <si>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</si>
  <si>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</si>
  <si>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</si>
  <si>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</si>
  <si>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</si>
  <si>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</si>
  <si>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</si>
  <si>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</si>
  <si>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</si>
  <si>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</si>
  <si>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</si>
  <si>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</si>
  <si>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</si>
  <si>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</si>
  <si>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</si>
  <si>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</si>
  <si>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</si>
  <si>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</si>
  <si>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</si>
  <si>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</si>
  <si>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</si>
  <si>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</si>
  <si>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</si>
  <si>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</si>
  <si>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</si>
  <si>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</si>
  <si>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</si>
  <si>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</si>
  <si>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</si>
  <si>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</si>
  <si>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</si>
  <si>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</si>
  <si>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</si>
  <si>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</si>
  <si>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</si>
  <si>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</si>
  <si>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</si>
  <si>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</si>
  <si>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</si>
  <si>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</si>
  <si>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</si>
  <si>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</si>
  <si>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</si>
  <si>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</si>
  <si>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</si>
  <si>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</si>
  <si>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</si>
  <si>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</si>
  <si>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</si>
  <si>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</si>
  <si>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</si>
  <si>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</si>
  <si>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</si>
  <si>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</si>
  <si>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</si>
  <si>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</si>
  <si>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</si>
  <si>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</si>
  <si>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</si>
  <si>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</si>
  <si>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</si>
  <si>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</si>
  <si>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</si>
  <si>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</si>
  <si>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</si>
  <si>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</si>
  <si>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</si>
  <si>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</si>
  <si>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</si>
  <si>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</si>
  <si>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</si>
  <si>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</si>
  <si>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</si>
  <si>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</si>
  <si>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</si>
  <si>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</si>
  <si>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</si>
  <si>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</si>
  <si>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</si>
  <si>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</si>
  <si>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</si>
  <si>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</si>
  <si>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</si>
  <si>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</si>
  <si>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</si>
  <si>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</si>
  <si>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</si>
  <si>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</si>
  <si>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</si>
  <si>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</si>
  <si>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</si>
  <si>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</si>
  <si>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</si>
  <si>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</si>
  <si>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</si>
  <si>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</si>
  <si>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</si>
  <si>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</si>
  <si>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</si>
  <si>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</si>
  <si>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</si>
  <si>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</si>
  <si>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</si>
  <si>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</si>
  <si>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</si>
  <si>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</si>
  <si>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</si>
  <si>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</si>
  <si>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</si>
  <si>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</si>
  <si>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</si>
  <si>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</si>
  <si>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</si>
  <si>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</si>
  <si>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</si>
  <si>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</si>
  <si>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</si>
  <si>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</si>
  <si>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</si>
  <si>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</si>
  <si>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</si>
  <si>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</si>
  <si>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</si>
  <si>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</si>
  <si>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</si>
  <si>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</si>
  <si>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</si>
  <si>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</si>
  <si>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</si>
  <si>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</si>
  <si>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</si>
  <si>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</si>
  <si>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</si>
  <si>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</si>
  <si>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</si>
  <si>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</si>
  <si>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</si>
  <si>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</si>
  <si>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</si>
  <si>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</si>
  <si>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</si>
  <si>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</si>
  <si>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</si>
  <si>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</si>
  <si>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</si>
  <si>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</si>
  <si>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</si>
  <si>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</si>
  <si>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</si>
  <si>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</si>
  <si>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</si>
  <si>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</si>
  <si>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</si>
  <si>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</si>
  <si>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</si>
  <si>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</si>
  <si>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</si>
  <si>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</si>
  <si>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</si>
  <si>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</si>
  <si>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</si>
  <si>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</si>
  <si>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</si>
  <si>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</si>
  <si>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</si>
  <si>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</si>
  <si>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</si>
  <si>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</si>
  <si>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</si>
  <si>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</si>
  <si>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</si>
  <si>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</si>
  <si>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</si>
  <si>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</si>
  <si>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</si>
  <si>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</si>
  <si>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</si>
  <si>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</si>
  <si>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</si>
  <si>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</si>
  <si>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</si>
  <si>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</si>
  <si>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</si>
  <si>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</si>
  <si>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</si>
  <si>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</si>
  <si>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</si>
  <si>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</si>
  <si>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</si>
  <si>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</si>
  <si>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</si>
  <si>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</si>
  <si>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</si>
  <si>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</si>
  <si>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</si>
  <si>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</si>
  <si>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</si>
  <si>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</si>
  <si>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</si>
  <si>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</si>
  <si>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</si>
  <si>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</si>
  <si>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</si>
  <si>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</si>
  <si>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</si>
  <si>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</si>
  <si>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</si>
  <si>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</si>
  <si>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</si>
  <si>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</si>
  <si>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</si>
  <si>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</si>
  <si>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</si>
  <si>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</si>
  <si>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</si>
  <si>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</si>
  <si>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</si>
  <si>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</si>
  <si>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</si>
  <si>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</si>
  <si>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</si>
  <si>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</si>
  <si>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</si>
  <si>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</si>
  <si>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</si>
  <si>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</si>
  <si>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</si>
  <si>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</si>
  <si>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</si>
  <si>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</si>
  <si>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</si>
  <si>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</si>
  <si>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</si>
  <si>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</si>
  <si>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</si>
  <si>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</si>
  <si>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</si>
  <si>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</si>
  <si>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</si>
  <si>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</si>
  <si>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</si>
  <si>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</si>
  <si>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</si>
  <si>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</si>
  <si>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</si>
  <si>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</si>
  <si>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</si>
  <si>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</si>
  <si>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</si>
  <si>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</si>
  <si>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</si>
  <si>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</si>
  <si>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</si>
  <si>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</si>
  <si>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</si>
  <si>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</si>
  <si>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</si>
  <si>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</si>
  <si>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</si>
  <si>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</si>
  <si>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</si>
  <si>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</si>
  <si>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</si>
  <si>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</si>
  <si>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</si>
  <si>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</si>
  <si>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</si>
  <si>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</si>
  <si>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</si>
  <si>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</si>
  <si>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</si>
  <si>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</si>
  <si>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</si>
  <si>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</si>
  <si>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</si>
  <si>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</si>
  <si>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</si>
  <si>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</si>
  <si>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</si>
  <si>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</si>
  <si>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</si>
  <si>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</si>
  <si>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</si>
  <si>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</si>
  <si>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</si>
  <si>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</si>
  <si>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</si>
  <si>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</si>
  <si>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</si>
  <si>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</si>
  <si>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</si>
  <si>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</si>
  <si>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</si>
  <si>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</si>
  <si>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</si>
  <si>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</si>
  <si>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</si>
  <si>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</si>
  <si>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</si>
  <si>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</si>
  <si>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</si>
  <si>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</si>
  <si>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</si>
  <si>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</si>
  <si>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</si>
  <si>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</si>
  <si>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</si>
  <si>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</si>
  <si>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</si>
  <si>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</si>
  <si>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</si>
  <si>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</si>
  <si>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</si>
  <si>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</si>
  <si>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</si>
  <si>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</si>
  <si>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</si>
  <si>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</si>
  <si>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</si>
  <si>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</si>
  <si>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</si>
  <si>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</si>
  <si>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</si>
  <si>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</si>
  <si>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</si>
  <si>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</si>
  <si>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</si>
  <si>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</si>
  <si>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</si>
  <si>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</si>
  <si>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</si>
  <si>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</si>
  <si>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</si>
  <si>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</si>
  <si>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</si>
  <si>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</si>
  <si>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</si>
  <si>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</si>
  <si>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</si>
  <si>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</si>
  <si>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</si>
  <si>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</si>
  <si>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</si>
  <si>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</si>
  <si>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</si>
  <si>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</si>
  <si>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</si>
  <si>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</si>
  <si>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</si>
  <si>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</si>
  <si>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</si>
  <si>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</si>
  <si>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</si>
  <si>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</si>
  <si>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</si>
  <si>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</si>
  <si>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</si>
  <si>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</si>
  <si>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</si>
  <si>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</si>
  <si>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</si>
  <si>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</si>
  <si>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</si>
  <si>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</si>
  <si>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</si>
  <si>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</si>
  <si>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</si>
  <si>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</si>
  <si>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</si>
  <si>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</si>
  <si>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</si>
  <si>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</si>
  <si>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</si>
  <si>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</si>
  <si>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</si>
  <si>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</si>
  <si>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</si>
  <si>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</si>
  <si>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</si>
  <si>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</si>
  <si>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</si>
  <si>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</si>
  <si>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</si>
  <si>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</si>
  <si>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</si>
  <si>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</si>
  <si>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</si>
  <si>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</si>
  <si>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</si>
  <si>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</si>
  <si>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</si>
  <si>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</si>
  <si>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</si>
  <si>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</si>
  <si>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</si>
  <si>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</si>
  <si>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</si>
  <si>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</si>
  <si>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</si>
  <si>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</si>
  <si>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</si>
  <si>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</si>
  <si>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</si>
  <si>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</si>
  <si>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</si>
  <si>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</si>
  <si>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</si>
  <si>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</si>
  <si>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</si>
  <si>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</si>
  <si>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</si>
  <si>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</si>
  <si>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</si>
  <si>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</si>
  <si>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</si>
  <si>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</si>
  <si>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</si>
  <si>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</si>
  <si>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</si>
  <si>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</si>
  <si>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</si>
  <si>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</si>
  <si>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</si>
  <si>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</si>
  <si>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</si>
  <si>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</si>
  <si>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</si>
  <si>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</si>
  <si>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</si>
  <si>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</si>
  <si>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</si>
  <si>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</si>
  <si>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</si>
  <si>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</si>
  <si>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</si>
  <si>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</si>
  <si>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</si>
  <si>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</si>
  <si>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</si>
  <si>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</si>
  <si>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</si>
  <si>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</si>
  <si>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</si>
  <si>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</si>
  <si>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</si>
  <si>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</si>
  <si>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</si>
  <si>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</si>
  <si>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</si>
  <si>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</si>
  <si>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</si>
  <si>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</si>
  <si>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</si>
  <si>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</si>
  <si>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</si>
  <si>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</si>
  <si>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</si>
  <si>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</si>
  <si>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</si>
  <si>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</si>
  <si>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</si>
  <si>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</si>
  <si>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</si>
  <si>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</si>
  <si>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</si>
  <si>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</si>
  <si>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</si>
  <si>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</si>
  <si>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</si>
  <si>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</si>
  <si>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</si>
  <si>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</si>
  <si>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</si>
  <si>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</si>
  <si>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</si>
  <si>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</si>
  <si>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</si>
  <si>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</si>
  <si>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</si>
  <si>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</si>
  <si>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</si>
  <si>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</si>
  <si>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</si>
  <si>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</si>
  <si>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</si>
  <si>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</si>
  <si>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</si>
  <si>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</si>
  <si>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</si>
  <si>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</si>
  <si>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</si>
  <si>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</si>
  <si>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</si>
  <si>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</si>
  <si>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</si>
  <si>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</si>
  <si>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</si>
  <si>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</si>
  <si>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</si>
  <si>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</si>
  <si>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</si>
  <si>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</si>
  <si>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</si>
  <si>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</si>
  <si>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</si>
  <si>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</si>
  <si>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</si>
  <si>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</si>
  <si>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</si>
  <si>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</si>
  <si>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</si>
  <si>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</si>
  <si>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</si>
  <si>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</si>
  <si>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</si>
  <si>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</si>
  <si>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</si>
  <si>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</si>
  <si>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</si>
  <si>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</si>
  <si>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</si>
  <si>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</si>
  <si>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</si>
  <si>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</si>
  <si>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</si>
  <si>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</si>
  <si>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</si>
  <si>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</si>
  <si>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</si>
  <si>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</si>
  <si>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</si>
  <si>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</si>
  <si>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</si>
  <si>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</si>
  <si>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</si>
  <si>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</si>
  <si>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</si>
  <si>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</si>
  <si>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</si>
  <si>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</si>
  <si>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</si>
  <si>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</si>
  <si>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</si>
  <si>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</si>
  <si>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</si>
  <si>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</si>
  <si>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</si>
  <si>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</si>
  <si>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</si>
  <si>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</si>
  <si>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</si>
  <si>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</si>
  <si>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</si>
  <si>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</si>
  <si>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</si>
  <si>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</si>
  <si>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</si>
  <si>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</si>
  <si>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</si>
  <si>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</si>
  <si>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</si>
  <si>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</si>
  <si>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</si>
  <si>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</si>
  <si>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</si>
  <si>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</si>
  <si>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</si>
  <si>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</si>
  <si>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</si>
  <si>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</si>
  <si>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</si>
  <si>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</si>
  <si>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</si>
  <si>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</si>
  <si>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</si>
  <si>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</si>
  <si>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</si>
  <si>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</si>
  <si>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</si>
  <si>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</si>
  <si>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</si>
  <si>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</si>
  <si>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</si>
  <si>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</si>
  <si>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</si>
  <si>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</si>
  <si>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</si>
  <si>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</si>
  <si>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</si>
  <si>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</si>
  <si>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</si>
  <si>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</si>
  <si>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</si>
  <si>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</si>
  <si>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</si>
  <si>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</si>
  <si>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</si>
  <si>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</si>
  <si>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</si>
  <si>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</si>
  <si>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</si>
  <si>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</si>
  <si>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</si>
  <si>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</si>
  <si>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</si>
  <si>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</si>
  <si>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</si>
  <si>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</si>
  <si>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</si>
  <si>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</si>
  <si>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</si>
  <si>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</si>
  <si>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</si>
  <si>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</si>
  <si>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</si>
  <si>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</si>
  <si>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</si>
  <si>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</si>
  <si>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</si>
  <si>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</si>
  <si>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</si>
  <si>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</si>
  <si>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</si>
  <si>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</si>
  <si>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</si>
  <si>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</si>
  <si>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</si>
  <si>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</si>
  <si>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</si>
  <si>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</si>
  <si>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</si>
  <si>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</si>
  <si>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</si>
  <si>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</si>
  <si>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</si>
  <si>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</si>
  <si>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</si>
  <si>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</si>
  <si>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</si>
  <si>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</si>
  <si>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</si>
  <si>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</si>
  <si>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</si>
  <si>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</si>
  <si>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</si>
  <si>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</si>
  <si>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</si>
  <si>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</si>
  <si>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</si>
  <si>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</si>
  <si>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</si>
  <si>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</si>
  <si>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</si>
  <si>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</si>
  <si>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</si>
  <si>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</si>
  <si>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</si>
  <si>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</si>
  <si>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</si>
  <si>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</si>
  <si>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</si>
  <si>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</si>
  <si>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</si>
  <si>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</si>
  <si>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</si>
  <si>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</si>
  <si>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</si>
  <si>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</si>
  <si>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</si>
  <si>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</si>
  <si>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</si>
  <si>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</si>
  <si>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</si>
  <si>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</si>
  <si>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</si>
  <si>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</si>
  <si>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</si>
  <si>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</si>
  <si>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</si>
  <si>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</si>
  <si>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</si>
  <si>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</si>
  <si>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</si>
  <si>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</si>
  <si>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</si>
  <si>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</si>
  <si>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</si>
  <si>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</si>
  <si>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</si>
  <si>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</si>
  <si>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</si>
  <si>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</si>
  <si>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</si>
  <si>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</si>
  <si>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</si>
  <si>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</si>
  <si>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</si>
  <si>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</si>
  <si>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</si>
  <si>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</si>
  <si>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</si>
  <si>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</si>
  <si>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</si>
  <si>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</si>
  <si>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</si>
  <si>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</si>
  <si>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</si>
  <si>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</si>
  <si>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</si>
  <si>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</si>
  <si>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</si>
  <si>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</si>
  <si>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</si>
  <si>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</si>
  <si>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</si>
  <si>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</si>
  <si>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</si>
  <si>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</si>
  <si>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</si>
  <si>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</si>
  <si>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</si>
  <si>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</si>
  <si>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</si>
  <si>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</si>
  <si>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</si>
  <si>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</si>
  <si>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</si>
  <si>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</si>
  <si>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</si>
  <si>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</si>
  <si>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</si>
  <si>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</si>
  <si>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</si>
  <si>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</si>
  <si>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</si>
  <si>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</si>
  <si>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</si>
  <si>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</si>
  <si>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</si>
  <si>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</si>
  <si>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</si>
  <si>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</si>
  <si>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</si>
  <si>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</si>
  <si>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</si>
  <si>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</si>
  <si>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</si>
  <si>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</si>
  <si>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</si>
  <si>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</si>
  <si>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</si>
  <si>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</si>
  <si>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</si>
  <si>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</si>
  <si>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</si>
  <si>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</si>
  <si>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</si>
  <si>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</si>
  <si>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</si>
  <si>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</si>
  <si>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</si>
  <si>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</si>
  <si>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</si>
  <si>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</si>
  <si>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</si>
  <si>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</si>
  <si>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</si>
  <si>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</si>
  <si>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</si>
  <si>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</si>
  <si>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</si>
  <si>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</si>
  <si>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</si>
  <si>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</si>
  <si>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</si>
  <si>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</si>
  <si>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</si>
  <si>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</si>
  <si>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</si>
  <si>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</si>
  <si>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</si>
  <si>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</si>
  <si>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</si>
  <si>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</si>
  <si>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</si>
  <si>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</si>
  <si>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</si>
  <si>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</si>
  <si>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</si>
  <si>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</si>
  <si>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</si>
  <si>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</si>
  <si>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</si>
  <si>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</si>
  <si>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</si>
  <si>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</si>
  <si>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</si>
  <si>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</si>
  <si>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</si>
  <si>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</si>
  <si>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</si>
  <si>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</si>
  <si>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</si>
  <si>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</si>
  <si>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</si>
  <si>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</si>
  <si>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</si>
  <si>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</si>
  <si>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</si>
  <si>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</si>
  <si>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</si>
  <si>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</si>
  <si>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</si>
  <si>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</si>
  <si>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</si>
  <si>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</si>
  <si>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</si>
  <si>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</si>
  <si>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</si>
  <si>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</si>
  <si>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</si>
  <si>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</si>
  <si>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</si>
  <si>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</si>
  <si>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</si>
  <si>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</si>
  <si>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</si>
  <si>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</si>
  <si>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</si>
  <si>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</si>
  <si>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</si>
  <si>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</si>
  <si>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</si>
  <si>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</si>
  <si>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</si>
  <si>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</si>
  <si>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</si>
  <si>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</si>
  <si>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</si>
  <si>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</si>
  <si>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</si>
  <si>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</si>
  <si>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</si>
  <si>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</si>
  <si>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</si>
  <si>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</si>
  <si>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</si>
  <si>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</si>
  <si>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</si>
  <si>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</si>
  <si>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</si>
  <si>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</si>
  <si>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</si>
  <si>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</si>
  <si>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</si>
  <si>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</si>
  <si>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</si>
  <si>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</si>
  <si>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</si>
  <si>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</si>
  <si>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</si>
  <si>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</si>
  <si>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</si>
  <si>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</si>
  <si>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</si>
  <si>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</si>
  <si>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</si>
  <si>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</si>
  <si>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</si>
  <si>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</si>
  <si>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</si>
  <si>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</si>
  <si>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</si>
  <si>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</si>
  <si>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</si>
  <si>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</si>
  <si>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</si>
  <si>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</si>
  <si>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</si>
  <si>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</si>
  <si>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</si>
  <si>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</si>
  <si>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</si>
  <si>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</si>
  <si>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</si>
  <si>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</si>
  <si>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</si>
  <si>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</si>
  <si>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</si>
  <si>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</si>
  <si>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</si>
  <si>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</si>
  <si>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</si>
  <si>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</si>
  <si>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</si>
  <si>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</si>
  <si>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</si>
  <si>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</si>
  <si>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</si>
  <si>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</si>
  <si>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</si>
  <si>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</si>
  <si>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</si>
  <si>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</si>
  <si>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</si>
  <si>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</si>
  <si>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</si>
  <si>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</si>
  <si>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</si>
  <si>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</si>
  <si>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</si>
  <si>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</si>
  <si>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</si>
  <si>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</si>
  <si>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</si>
  <si>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</si>
  <si>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</si>
  <si>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</si>
  <si>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</si>
  <si>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</si>
  <si>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</si>
  <si>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</si>
  <si>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</si>
  <si>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</si>
  <si>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</si>
  <si>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</si>
  <si>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</si>
  <si>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</si>
  <si>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</si>
  <si>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</si>
  <si>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</si>
  <si>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</si>
  <si>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</si>
  <si>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</si>
  <si>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</si>
  <si>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</si>
  <si>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</si>
  <si>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</si>
  <si>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</si>
  <si>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</si>
  <si>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</si>
  <si>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</si>
  <si>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</si>
  <si>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</si>
  <si>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</si>
  <si>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</si>
  <si>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</si>
  <si>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</si>
  <si>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</si>
  <si>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</si>
  <si>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</si>
  <si>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</si>
  <si>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</si>
  <si>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</si>
  <si>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</si>
  <si>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</si>
  <si>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</si>
  <si>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</si>
  <si>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</si>
  <si>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</si>
  <si>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</si>
  <si>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</si>
  <si>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</si>
  <si>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</si>
  <si>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</si>
  <si>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</si>
  <si>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</si>
  <si>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</si>
  <si>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</si>
  <si>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</si>
  <si>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</si>
  <si>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</si>
  <si>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</si>
  <si>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</si>
  <si>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</si>
  <si>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</si>
  <si>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</si>
  <si>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</si>
  <si>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</si>
  <si>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</si>
  <si>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</si>
  <si>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</si>
  <si>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</si>
  <si>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</si>
  <si>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</si>
  <si>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</si>
  <si>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</si>
  <si>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</si>
  <si>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</si>
  <si>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</si>
  <si>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</si>
  <si>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</si>
  <si>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</si>
  <si>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</si>
  <si>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</si>
  <si>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</si>
  <si>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</si>
  <si>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</si>
  <si>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</si>
  <si>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</si>
  <si>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</si>
  <si>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</si>
  <si>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</si>
  <si>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</si>
  <si>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</si>
  <si>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</si>
  <si>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</si>
  <si>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</si>
  <si>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</si>
  <si>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</si>
  <si>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</si>
  <si>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</si>
  <si>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</si>
  <si>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</si>
  <si>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</si>
  <si>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</si>
  <si>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</si>
  <si>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</si>
  <si>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</si>
  <si>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</si>
  <si>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</si>
  <si>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</si>
  <si>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</si>
  <si>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</si>
  <si>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</si>
  <si>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</si>
  <si>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</si>
  <si>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</si>
  <si>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</si>
  <si>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</si>
  <si>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</si>
  <si>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</si>
  <si>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</si>
  <si>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</si>
  <si>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</si>
  <si>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</si>
  <si>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</si>
  <si>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</si>
  <si>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</si>
  <si>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</si>
  <si>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</si>
  <si>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</si>
  <si>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</si>
  <si>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</si>
  <si>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</si>
  <si>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</si>
  <si>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</si>
  <si>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</si>
  <si>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</si>
  <si>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</si>
  <si>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</si>
  <si>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</si>
  <si>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</si>
  <si>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</si>
  <si>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</si>
  <si>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</si>
  <si>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</si>
  <si>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</si>
  <si>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</si>
  <si>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</si>
  <si>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</si>
  <si>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</si>
  <si>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</si>
  <si>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</si>
  <si>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</si>
  <si>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</si>
  <si>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</si>
  <si>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</si>
  <si>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</si>
  <si>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</si>
  <si>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</si>
  <si>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</si>
  <si>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</si>
  <si>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</si>
  <si>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</si>
  <si>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</si>
  <si>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</si>
  <si>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</si>
  <si>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</si>
  <si>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</si>
  <si>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</si>
  <si>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</si>
  <si>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</si>
  <si>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</si>
  <si>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</si>
  <si>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</si>
  <si>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</si>
  <si>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</si>
  <si>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</si>
  <si>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</si>
  <si>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</si>
  <si>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</si>
  <si>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</si>
  <si>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</si>
  <si>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</si>
  <si>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</si>
  <si>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</si>
  <si>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</si>
  <si>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</si>
  <si>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</si>
  <si>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</si>
  <si>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</si>
  <si>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</si>
  <si>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</si>
  <si>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</si>
  <si>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</si>
  <si>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</si>
  <si>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</si>
  <si>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</si>
  <si>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</si>
  <si>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</si>
  <si>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</si>
  <si>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</si>
  <si>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</si>
  <si>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</si>
  <si>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</si>
  <si>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</si>
  <si>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</si>
  <si>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</si>
  <si>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</si>
  <si>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</si>
  <si>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</si>
  <si>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</si>
  <si>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</si>
  <si>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</si>
  <si>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</si>
  <si>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</si>
  <si>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</si>
  <si>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</si>
  <si>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</si>
  <si>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</si>
  <si>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</si>
  <si>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</si>
  <si>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</si>
  <si>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</si>
  <si>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</si>
  <si>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</si>
  <si>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</si>
  <si>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</si>
  <si>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</si>
  <si>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</si>
  <si>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</si>
  <si>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</si>
  <si>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</si>
  <si>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</si>
  <si>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</si>
  <si>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</si>
  <si>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</si>
  <si>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</si>
  <si>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</si>
  <si>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</si>
  <si>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</si>
  <si>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</si>
  <si>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</si>
  <si>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</si>
  <si>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</si>
  <si>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</si>
  <si>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</si>
  <si>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</si>
  <si>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</si>
  <si>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</si>
  <si>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</si>
  <si>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</si>
  <si>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</si>
  <si>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</si>
  <si>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</si>
  <si>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</si>
  <si>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</si>
  <si>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</si>
  <si>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</si>
  <si>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</si>
  <si>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</si>
  <si>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</si>
  <si>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</si>
  <si>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</si>
  <si>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</si>
  <si>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</si>
  <si>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</si>
  <si>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</si>
  <si>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</si>
  <si>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</si>
  <si>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</si>
  <si>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</si>
  <si>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</si>
  <si>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</si>
  <si>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</si>
  <si>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</si>
  <si>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</si>
  <si>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</si>
  <si>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</si>
  <si>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</si>
  <si>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</si>
  <si>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</si>
  <si>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</si>
  <si>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</si>
  <si>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</si>
  <si>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</si>
  <si>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</si>
  <si>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</si>
  <si>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</si>
  <si>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</si>
  <si>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</si>
  <si>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</si>
  <si>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</si>
  <si>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</si>
  <si>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</si>
  <si>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</si>
  <si>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</si>
  <si>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</si>
  <si>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</si>
  <si>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</si>
  <si>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</si>
  <si>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</si>
  <si>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</si>
  <si>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</si>
  <si>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</si>
  <si>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</si>
  <si>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</si>
  <si>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</si>
  <si>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</si>
  <si>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</si>
  <si>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</si>
  <si>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</si>
  <si>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</si>
  <si>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</si>
  <si>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</si>
  <si>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</si>
  <si>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</si>
  <si>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</si>
  <si>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</si>
  <si>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</si>
  <si>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</si>
  <si>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</si>
  <si>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</si>
  <si>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</si>
  <si>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</si>
  <si>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</si>
  <si>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</si>
  <si>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</si>
  <si>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</si>
  <si>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</si>
  <si>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</si>
  <si>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</si>
  <si>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</si>
  <si>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</si>
  <si>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</si>
  <si>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</si>
  <si>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</si>
  <si>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</si>
  <si>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</si>
  <si>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</si>
  <si>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</si>
  <si>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</si>
  <si>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</si>
  <si>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</si>
  <si>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</si>
  <si>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</si>
  <si>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</si>
  <si>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</si>
  <si>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</si>
  <si>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</si>
  <si>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</si>
  <si>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</si>
  <si>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</si>
  <si>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</si>
  <si>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</si>
  <si>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</si>
  <si>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</si>
  <si>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</si>
  <si>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</si>
  <si>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</si>
  <si>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</si>
  <si>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</si>
  <si>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</si>
  <si>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</si>
  <si>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</si>
  <si>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</si>
  <si>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</si>
  <si>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</si>
  <si>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</si>
  <si>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</si>
  <si>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</si>
  <si>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</si>
  <si>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</si>
  <si>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</si>
  <si>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</si>
  <si>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</si>
  <si>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</si>
  <si>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</si>
  <si>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</si>
  <si>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</si>
  <si>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</si>
  <si>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</si>
  <si>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</si>
  <si>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</si>
  <si>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</si>
  <si>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</si>
  <si>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</si>
  <si>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</si>
  <si>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</si>
  <si>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</si>
  <si>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</si>
  <si>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</si>
  <si>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</si>
  <si>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</si>
  <si>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</si>
  <si>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</si>
  <si>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</si>
  <si>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</si>
  <si>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</si>
  <si>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</si>
  <si>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</si>
  <si>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</si>
  <si>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</si>
  <si>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</si>
  <si>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</si>
  <si>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</si>
  <si>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</si>
  <si>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</si>
  <si>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</si>
  <si>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</si>
  <si>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</si>
  <si>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</si>
  <si>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</si>
  <si>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</si>
  <si>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</si>
  <si>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</si>
  <si>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</si>
  <si>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</si>
  <si>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</si>
  <si>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</si>
  <si>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</si>
  <si>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</si>
  <si>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</si>
  <si>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</si>
  <si>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</si>
  <si>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</si>
  <si>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</si>
  <si>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</si>
  <si>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</si>
  <si>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</si>
  <si>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</si>
  <si>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</si>
  <si>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</si>
  <si>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</si>
  <si>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</si>
  <si>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</si>
  <si>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</si>
  <si>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</si>
  <si>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</si>
  <si>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</si>
  <si>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</si>
  <si>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</si>
  <si>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</si>
  <si>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</si>
  <si>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</si>
  <si>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</si>
  <si>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</si>
  <si>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</si>
  <si>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</si>
  <si>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</si>
  <si>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</si>
  <si>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</si>
  <si>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</si>
  <si>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</si>
  <si>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</si>
  <si>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</si>
  <si>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</si>
  <si>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</si>
  <si>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</si>
  <si>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</si>
  <si>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</si>
  <si>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</si>
  <si>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</si>
  <si>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</si>
  <si>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</si>
  <si>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</si>
  <si>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</si>
  <si>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</si>
  <si>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</si>
  <si>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</si>
  <si>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</si>
  <si>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</si>
  <si>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</si>
  <si>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</si>
  <si>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</si>
  <si>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</si>
  <si>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</si>
  <si>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</si>
  <si>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</si>
  <si>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</si>
  <si>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</si>
  <si>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</si>
  <si>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</si>
  <si>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</si>
  <si>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</si>
  <si>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</si>
  <si>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</si>
  <si>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</si>
  <si>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</si>
  <si>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</si>
  <si>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</si>
  <si>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</si>
  <si>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</si>
  <si>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</si>
  <si>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</si>
  <si>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</si>
  <si>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</si>
  <si>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</si>
  <si>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</si>
  <si>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</si>
  <si>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</si>
  <si>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</si>
  <si>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</si>
  <si>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</si>
  <si>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</si>
  <si>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</si>
  <si>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</si>
  <si>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</si>
  <si>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</si>
  <si>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</si>
  <si>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</si>
  <si>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</si>
  <si>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</si>
  <si>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</si>
  <si>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</si>
  <si>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</si>
  <si>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</si>
  <si>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</si>
  <si>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</si>
  <si>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</si>
  <si>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</si>
  <si>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</si>
  <si>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</si>
  <si>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</si>
  <si>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</si>
  <si>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</si>
  <si>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</si>
  <si>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</si>
  <si>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</si>
  <si>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</si>
  <si>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</si>
  <si>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</si>
  <si>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</si>
  <si>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</si>
  <si>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</si>
  <si>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</si>
  <si>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</si>
  <si>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</si>
  <si>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</si>
  <si>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</si>
  <si>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</si>
  <si>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</si>
  <si>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</si>
  <si>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</si>
  <si>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</si>
  <si>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</si>
  <si>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</si>
  <si>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</si>
  <si>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</si>
  <si>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</si>
  <si>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</si>
  <si>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</si>
  <si>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</si>
  <si>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</si>
  <si>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</si>
  <si>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</si>
  <si>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</si>
  <si>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</si>
  <si>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</si>
  <si>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</si>
  <si>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</si>
  <si>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</si>
  <si>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</si>
  <si>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</si>
  <si>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</si>
  <si>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</si>
  <si>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</si>
  <si>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</si>
  <si>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</si>
  <si>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</si>
  <si>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</si>
  <si>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</si>
  <si>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</si>
  <si>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</si>
  <si>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</si>
  <si>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</si>
  <si>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</si>
  <si>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</si>
  <si>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</si>
  <si>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</si>
  <si>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</si>
  <si>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</si>
  <si>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</si>
  <si>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</si>
  <si>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</si>
  <si>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</si>
  <si>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</si>
  <si>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</si>
  <si>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</si>
  <si>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</si>
  <si>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</si>
  <si>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</si>
  <si>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</si>
  <si>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</si>
  <si>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</si>
  <si>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</si>
  <si>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</si>
  <si>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</si>
  <si>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</si>
  <si>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</si>
  <si>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</si>
  <si>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</si>
  <si>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</si>
  <si>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</si>
  <si>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</si>
  <si>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</si>
  <si>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</si>
  <si>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</si>
  <si>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</si>
  <si>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</si>
  <si>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</si>
  <si>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</si>
  <si>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</si>
  <si>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</si>
  <si>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</si>
  <si>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</si>
  <si>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</si>
  <si>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</si>
  <si>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</si>
  <si>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</si>
  <si>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</si>
  <si>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</si>
  <si>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</si>
  <si>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</si>
  <si>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</si>
  <si>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</si>
  <si>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</si>
  <si>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</si>
  <si>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</si>
  <si>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</si>
  <si>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</si>
  <si>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</si>
  <si>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</si>
  <si>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</si>
  <si>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</si>
  <si>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</si>
  <si>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</si>
  <si>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</si>
  <si>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</si>
  <si>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</si>
  <si>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</si>
  <si>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</si>
  <si>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</si>
  <si>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</si>
  <si>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</si>
  <si>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</si>
  <si>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</si>
  <si>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</si>
  <si>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</si>
  <si>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</si>
  <si>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</si>
  <si>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</si>
  <si>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</si>
  <si>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</si>
  <si>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</si>
  <si>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</si>
  <si>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</si>
  <si>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</si>
  <si>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</si>
  <si>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</si>
  <si>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</si>
  <si>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</si>
  <si>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</si>
  <si>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</si>
  <si>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</si>
  <si>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</si>
  <si>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</si>
  <si>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</si>
  <si>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</si>
  <si>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</si>
  <si>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</si>
  <si>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</si>
  <si>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</si>
  <si>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</si>
  <si>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</si>
  <si>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</si>
  <si>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</si>
  <si>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</si>
  <si>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</si>
  <si>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</si>
  <si>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</si>
  <si>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</si>
  <si>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</si>
  <si>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</si>
  <si>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</si>
  <si>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</si>
  <si>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</si>
  <si>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</si>
  <si>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</si>
  <si>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</si>
  <si>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</si>
  <si>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</si>
  <si>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</si>
  <si>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</si>
  <si>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</si>
  <si>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</si>
  <si>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</si>
  <si>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</si>
  <si>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</si>
  <si>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</si>
  <si>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</si>
  <si>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</si>
  <si>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</si>
  <si>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</si>
  <si>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</si>
  <si>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</si>
  <si>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</si>
  <si>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</si>
  <si>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</si>
  <si>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</si>
  <si>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</si>
  <si>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</si>
  <si>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</si>
  <si>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</si>
  <si>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</si>
  <si>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</si>
  <si>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</si>
  <si>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</si>
  <si>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</si>
  <si>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</si>
  <si>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</si>
  <si>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</si>
  <si>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</si>
  <si>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</si>
  <si>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</si>
  <si>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</si>
  <si>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</si>
  <si>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</si>
  <si>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</si>
  <si>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</si>
  <si>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</si>
  <si>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</si>
  <si>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</si>
  <si>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</si>
  <si>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</si>
  <si>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</si>
  <si>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</si>
  <si>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</si>
  <si>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</si>
  <si>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</si>
  <si>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</si>
  <si>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</si>
  <si>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</si>
  <si>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</si>
  <si>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</si>
  <si>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</si>
  <si>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</si>
  <si>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</si>
  <si>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</si>
  <si>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</si>
  <si>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</si>
  <si>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</si>
  <si>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</si>
  <si>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</si>
  <si>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</si>
  <si>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</si>
  <si>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</si>
  <si>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</si>
  <si>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</si>
  <si>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</si>
  <si>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</si>
  <si>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</si>
  <si>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</si>
  <si>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</si>
  <si>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</si>
  <si>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</si>
  <si>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</si>
  <si>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</si>
  <si>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</si>
  <si>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</si>
  <si>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</si>
  <si>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</si>
  <si>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</si>
  <si>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</si>
  <si>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</si>
  <si>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</si>
  <si>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</si>
  <si>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</si>
  <si>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</si>
  <si>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</si>
  <si>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</si>
  <si>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</si>
  <si>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</si>
  <si>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</si>
  <si>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</si>
  <si>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</si>
  <si>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</si>
  <si>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</si>
  <si>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</si>
  <si>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</si>
  <si>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</si>
  <si>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</si>
  <si>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</si>
  <si>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</si>
  <si>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</si>
  <si>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</si>
  <si>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</si>
  <si>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</si>
  <si>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</si>
  <si>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</si>
  <si>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</si>
  <si>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</si>
  <si>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</si>
  <si>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</si>
  <si>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</si>
  <si>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</si>
  <si>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</si>
  <si>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</si>
  <si>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</si>
  <si>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</si>
  <si>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</si>
  <si>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</si>
  <si>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</si>
  <si>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</si>
  <si>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</si>
  <si>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</si>
  <si>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</si>
  <si>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</si>
  <si>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</si>
  <si>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</si>
  <si>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</si>
  <si>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</si>
  <si>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</si>
  <si>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</si>
  <si>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</si>
  <si>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</si>
  <si>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</si>
  <si>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</si>
  <si>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</si>
  <si>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</si>
  <si>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</si>
  <si>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</si>
  <si>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</si>
  <si>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</si>
  <si>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</si>
  <si>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</si>
  <si>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</si>
  <si>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</si>
  <si>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</si>
  <si>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</si>
  <si>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</si>
  <si>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</si>
  <si>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</si>
  <si>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</si>
  <si>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</si>
  <si>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</si>
  <si>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</si>
  <si>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</si>
  <si>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</si>
  <si>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</si>
  <si>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</si>
  <si>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</si>
  <si>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</si>
  <si>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</si>
  <si>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</si>
  <si>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</si>
  <si>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</si>
  <si>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</si>
  <si>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</si>
  <si>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</si>
  <si>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</si>
  <si>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</si>
  <si>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</si>
  <si>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</si>
  <si>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</si>
  <si>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</si>
  <si>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</si>
  <si>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</si>
  <si>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</si>
  <si>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</si>
  <si>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</si>
  <si>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</si>
  <si>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</si>
  <si>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</si>
  <si>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</si>
  <si>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</si>
  <si>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</si>
  <si>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</si>
  <si>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</si>
  <si>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</si>
  <si>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</si>
  <si>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</si>
  <si>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</si>
  <si>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</si>
  <si>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</si>
  <si>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</si>
  <si>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</si>
  <si>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</si>
  <si>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</si>
  <si>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</si>
  <si>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</si>
  <si>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</si>
  <si>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</si>
  <si>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</si>
  <si>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</si>
  <si>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</si>
  <si>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</si>
  <si>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</si>
  <si>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</si>
  <si>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</si>
  <si>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</si>
  <si>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</si>
  <si>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</si>
  <si>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</si>
  <si>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</si>
  <si>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</si>
  <si>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</si>
  <si>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</si>
  <si>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</si>
  <si>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</si>
  <si>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</si>
  <si>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</si>
  <si>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</si>
  <si>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</si>
  <si>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</si>
  <si>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</si>
  <si>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</si>
  <si>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</si>
  <si>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</si>
  <si>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</si>
  <si>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</si>
  <si>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</si>
  <si>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</si>
  <si>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</si>
  <si>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</si>
  <si>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</si>
  <si>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</si>
  <si>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</si>
  <si>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</si>
  <si>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</si>
  <si>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</si>
  <si>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</si>
  <si>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</si>
  <si>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</si>
  <si>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</si>
  <si>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</si>
  <si>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</si>
  <si>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</si>
  <si>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</si>
  <si>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</si>
  <si>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</si>
  <si>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</si>
  <si>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</si>
  <si>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</si>
  <si>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</si>
  <si>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</si>
  <si>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</si>
  <si>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</si>
  <si>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</si>
  <si>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</si>
  <si>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</si>
  <si>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</si>
  <si>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</si>
  <si>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</si>
  <si>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</si>
  <si>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</si>
  <si>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</si>
  <si>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</si>
  <si>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</si>
  <si>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</si>
  <si>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</si>
  <si>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</si>
  <si>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</si>
  <si>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</si>
  <si>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</si>
  <si>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</si>
  <si>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</si>
  <si>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</si>
  <si>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</si>
  <si>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</si>
  <si>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</si>
  <si>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</si>
  <si>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</si>
  <si>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</si>
  <si>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</si>
  <si>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</si>
  <si>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</si>
  <si>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</si>
  <si>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</si>
  <si>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</si>
  <si>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</si>
  <si>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</si>
  <si>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</si>
  <si>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</si>
  <si>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</si>
  <si>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</si>
  <si>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</si>
  <si>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</si>
  <si>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</si>
  <si>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</si>
  <si>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</si>
  <si>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</si>
  <si>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</si>
  <si>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</si>
  <si>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</si>
  <si>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</si>
  <si>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</si>
  <si>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</si>
  <si>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</si>
  <si>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</si>
  <si>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</si>
  <si>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</si>
  <si>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</si>
  <si>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</si>
  <si>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</si>
  <si>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</si>
  <si>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</si>
  <si>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</si>
  <si>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</si>
  <si>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</si>
  <si>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</si>
  <si>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</si>
  <si>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</si>
  <si>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</si>
  <si>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</si>
  <si>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</si>
  <si>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</si>
  <si>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</si>
  <si>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</si>
  <si>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</si>
  <si>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</si>
  <si>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</si>
  <si>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</si>
  <si>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</si>
  <si>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</si>
  <si>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</si>
  <si>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</si>
  <si>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</si>
  <si>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</si>
  <si>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</si>
  <si>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</si>
  <si>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</si>
  <si>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</si>
  <si>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</si>
  <si>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</si>
  <si>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</si>
  <si>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</si>
  <si>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</si>
  <si>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</si>
  <si>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</si>
  <si>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</si>
  <si>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</si>
  <si>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</si>
  <si>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</si>
  <si>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</si>
  <si>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</si>
  <si>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</si>
  <si>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</si>
  <si>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</si>
  <si>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</si>
  <si>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</si>
  <si>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</si>
  <si>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</si>
  <si>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</si>
  <si>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</si>
  <si>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</si>
  <si>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</si>
  <si>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</si>
  <si>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</si>
  <si>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</si>
  <si>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</si>
  <si>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</si>
  <si>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</si>
  <si>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</si>
  <si>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</si>
  <si>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</si>
  <si>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</si>
  <si>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</si>
  <si>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</si>
  <si>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</si>
  <si>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</si>
  <si>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</si>
  <si>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</si>
  <si>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</si>
  <si>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</si>
  <si>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</si>
  <si>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</si>
  <si>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</si>
  <si>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</si>
  <si>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</si>
  <si>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</si>
  <si>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</si>
  <si>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</si>
  <si>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</si>
  <si>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</si>
  <si>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</si>
  <si>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</si>
  <si>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</si>
  <si>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</si>
  <si>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</si>
  <si>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</si>
  <si>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</si>
  <si>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</si>
  <si>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</si>
  <si>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</si>
  <si>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</si>
  <si>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</si>
  <si>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</si>
  <si>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</si>
  <si>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</si>
  <si>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</si>
  <si>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</si>
  <si>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</si>
  <si>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</si>
  <si>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</si>
  <si>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</si>
  <si>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</si>
  <si>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</si>
  <si>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</si>
  <si>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</si>
  <si>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</si>
  <si>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</si>
  <si>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</si>
  <si>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</si>
  <si>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</si>
  <si>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</si>
  <si>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</si>
  <si>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</si>
  <si>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</si>
  <si>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</si>
  <si>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</si>
  <si>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</si>
  <si>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</si>
  <si>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</si>
  <si>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</si>
  <si>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</si>
  <si>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</si>
  <si>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</si>
  <si>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</si>
  <si>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</si>
  <si>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</si>
  <si>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</si>
  <si>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</si>
  <si>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</si>
  <si>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</si>
  <si>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</si>
  <si>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</si>
  <si>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</si>
  <si>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</si>
  <si>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</si>
  <si>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</si>
  <si>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</si>
  <si>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</si>
  <si>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</si>
  <si>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</si>
  <si>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</si>
  <si>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</si>
  <si>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</si>
  <si>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</si>
  <si>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</si>
  <si>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</si>
  <si>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</si>
  <si>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</si>
  <si>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</si>
  <si>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</si>
  <si>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</si>
  <si>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</si>
  <si>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</si>
  <si>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</si>
  <si>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</si>
  <si>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</si>
  <si>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</si>
  <si>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</si>
  <si>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</si>
  <si>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</si>
  <si>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</si>
  <si>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</si>
  <si>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</si>
  <si>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</si>
  <si>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</si>
  <si>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</si>
  <si>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</si>
  <si>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</si>
  <si>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</si>
  <si>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</si>
  <si>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</si>
  <si>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</si>
  <si>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</si>
  <si>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</si>
  <si>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</si>
  <si>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</si>
  <si>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</si>
  <si>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</si>
  <si>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</si>
  <si>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</si>
  <si>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</si>
  <si>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</si>
  <si>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</si>
  <si>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</si>
  <si>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</si>
  <si>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</si>
  <si>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</si>
  <si>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</si>
  <si>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</si>
  <si>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</si>
  <si>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</si>
  <si>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</si>
  <si>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</si>
  <si>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</si>
  <si>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</si>
  <si>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</si>
  <si>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</si>
  <si>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</si>
  <si>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</si>
  <si>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</si>
  <si>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</si>
  <si>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</si>
  <si>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</si>
  <si>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</si>
  <si>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</si>
  <si>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</si>
  <si>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</si>
  <si>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</si>
  <si>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</si>
  <si>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</si>
  <si>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</si>
  <si>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</si>
  <si>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</si>
  <si>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</si>
  <si>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</si>
  <si>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</si>
  <si>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</si>
  <si>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</si>
  <si>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</si>
  <si>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</si>
  <si>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</si>
  <si>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</si>
  <si>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</si>
  <si>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</si>
  <si>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</si>
  <si>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</si>
  <si>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</si>
  <si>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</si>
  <si>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</si>
  <si>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</si>
  <si>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</si>
  <si>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</si>
  <si>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</si>
  <si>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</si>
  <si>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</si>
  <si>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</si>
  <si>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</si>
  <si>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</si>
  <si>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</si>
  <si>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</si>
  <si>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</si>
  <si>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</si>
  <si>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</si>
  <si>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</si>
  <si>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</si>
  <si>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</si>
  <si>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</si>
  <si>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</si>
  <si>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</si>
  <si>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</si>
  <si>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</si>
  <si>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</si>
  <si>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</si>
  <si>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</si>
  <si>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</si>
  <si>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</si>
  <si>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</si>
  <si>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</si>
  <si>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</si>
  <si>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</si>
  <si>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</si>
  <si>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</si>
  <si>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</si>
  <si>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</si>
  <si>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</si>
  <si>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</si>
  <si>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</si>
  <si>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</si>
  <si>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</si>
  <si>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</si>
  <si>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</si>
  <si>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</si>
  <si>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</si>
  <si>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</si>
  <si>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</si>
  <si>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</si>
  <si>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</si>
  <si>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</si>
  <si>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</si>
  <si>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</si>
  <si>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</si>
  <si>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</si>
  <si>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</si>
  <si>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</si>
  <si>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</si>
  <si>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</si>
  <si>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</si>
  <si>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</si>
  <si>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</si>
  <si>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</si>
  <si>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</si>
  <si>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</si>
  <si>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</si>
  <si>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</si>
  <si>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</si>
  <si>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</si>
  <si>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</si>
  <si>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</si>
  <si>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</si>
  <si>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</si>
  <si>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</si>
  <si>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</si>
  <si>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</si>
  <si>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</si>
  <si>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</si>
  <si>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</si>
  <si>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</si>
  <si>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</si>
  <si>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</si>
  <si>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</si>
  <si>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</si>
  <si>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</si>
  <si>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</si>
  <si>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</si>
  <si>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</si>
  <si>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</si>
  <si>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</si>
  <si>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</si>
  <si>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</si>
  <si>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</si>
  <si>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</si>
  <si>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</si>
  <si>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</si>
  <si>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</si>
  <si>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</si>
  <si>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</si>
  <si>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</si>
  <si>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</si>
  <si>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</si>
  <si>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</si>
  <si>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</si>
  <si>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</si>
  <si>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</si>
  <si>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</si>
  <si>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</si>
  <si>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</si>
  <si>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</si>
  <si>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</si>
  <si>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</si>
  <si>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</si>
  <si>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</si>
  <si>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</si>
  <si>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</si>
  <si>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</si>
  <si>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</si>
  <si>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</si>
  <si>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</si>
  <si>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</si>
  <si>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</si>
  <si>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</si>
  <si>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</si>
  <si>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</si>
  <si>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</si>
  <si>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</si>
  <si>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</si>
  <si>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</si>
  <si>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</si>
  <si>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</si>
  <si>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</si>
  <si>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</si>
  <si>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</si>
  <si>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</si>
  <si>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</si>
  <si>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</si>
  <si>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</si>
  <si>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</si>
  <si>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</si>
  <si>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</si>
  <si>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</si>
  <si>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</si>
  <si>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</si>
  <si>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</si>
  <si>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</si>
  <si>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</si>
  <si>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</si>
  <si>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</si>
  <si>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</si>
  <si>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</si>
  <si>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</si>
  <si>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</si>
  <si>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</si>
  <si>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</si>
  <si>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</si>
  <si>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</si>
  <si>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</si>
  <si>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</si>
  <si>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</si>
  <si>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</si>
  <si>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</si>
  <si>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</si>
  <si>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</si>
  <si>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</si>
  <si>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</si>
  <si>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</si>
  <si>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</si>
  <si>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</si>
  <si>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</si>
  <si>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</si>
  <si>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</si>
  <si>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</si>
  <si>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</si>
  <si>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</si>
  <si>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</si>
  <si>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</si>
  <si>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</si>
  <si>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</si>
  <si>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</si>
  <si>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</si>
  <si>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</si>
  <si>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</si>
  <si>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</si>
  <si>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</si>
  <si>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</si>
  <si>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</si>
  <si>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</si>
  <si>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</si>
  <si>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</si>
  <si>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</si>
  <si>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</si>
  <si>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</si>
  <si>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</si>
  <si>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</si>
  <si>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</si>
  <si>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</si>
  <si>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</si>
  <si>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</si>
  <si>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</si>
  <si>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</si>
  <si>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</si>
  <si>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</si>
  <si>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</si>
  <si>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</si>
  <si>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</si>
  <si>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</si>
  <si>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</si>
  <si>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</si>
  <si>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</si>
  <si>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</si>
  <si>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</si>
  <si>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</si>
  <si>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</si>
  <si>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</si>
  <si>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</si>
  <si>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</si>
  <si>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</si>
  <si>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</si>
  <si>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</si>
  <si>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</si>
  <si>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</si>
  <si>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</si>
  <si>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</si>
  <si>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</si>
  <si>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</si>
  <si>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</si>
  <si>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</si>
  <si>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</si>
  <si>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</si>
  <si>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</si>
  <si>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</si>
  <si>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</si>
  <si>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</si>
  <si>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</si>
  <si>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</si>
  <si>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</si>
  <si>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</si>
  <si>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</si>
  <si>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</si>
  <si>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</si>
  <si>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</si>
  <si>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</si>
  <si>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</si>
  <si>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</si>
  <si>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</si>
  <si>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</si>
  <si>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</si>
  <si>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</si>
  <si>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</si>
  <si>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</si>
  <si>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</si>
  <si>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</si>
  <si>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</si>
  <si>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</si>
  <si>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</si>
  <si>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</si>
  <si>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</si>
  <si>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</si>
  <si>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</si>
  <si>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</si>
  <si>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</si>
  <si>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</si>
  <si>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</si>
  <si>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</si>
  <si>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</si>
  <si>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</si>
  <si>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</si>
  <si>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</si>
  <si>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</si>
  <si>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</si>
  <si>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</si>
  <si>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</si>
  <si>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</si>
  <si>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</si>
  <si>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</si>
  <si>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</si>
  <si>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</si>
  <si>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</si>
  <si>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</si>
  <si>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</si>
  <si>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</si>
  <si>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</si>
  <si>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</si>
  <si>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</si>
  <si>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</si>
  <si>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</si>
  <si>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</si>
  <si>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</si>
  <si>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</si>
  <si>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</si>
  <si>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</si>
  <si>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</si>
  <si>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</si>
  <si>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</si>
  <si>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</si>
  <si>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</si>
  <si>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</si>
  <si>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</si>
  <si>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</si>
  <si>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</si>
  <si>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</si>
  <si>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</si>
  <si>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</si>
  <si>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</si>
  <si>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</si>
  <si>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</si>
  <si>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</si>
  <si>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</si>
  <si>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</si>
  <si>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</si>
  <si>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</si>
  <si>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</si>
  <si>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</si>
  <si>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</si>
  <si>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</si>
  <si>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</si>
  <si>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</si>
  <si>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</si>
  <si>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</si>
  <si>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</si>
  <si>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</si>
  <si>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</si>
  <si>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</si>
  <si>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</si>
  <si>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</si>
  <si>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</si>
  <si>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</si>
  <si>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</si>
  <si>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</si>
  <si>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</si>
  <si>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</si>
  <si>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</si>
  <si>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</si>
  <si>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</si>
  <si>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</si>
  <si>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</si>
  <si>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</si>
  <si>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</si>
  <si>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</si>
  <si>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</si>
  <si>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</si>
  <si>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</si>
  <si>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</si>
  <si>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</si>
  <si>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</si>
  <si>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</si>
  <si>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</si>
  <si>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</si>
  <si>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</si>
  <si>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</si>
  <si>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</si>
  <si>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</si>
  <si>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</si>
  <si>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</si>
  <si>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</si>
  <si>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</si>
  <si>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</si>
  <si>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</si>
  <si>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</si>
  <si>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</si>
  <si>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</si>
  <si>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</si>
  <si>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</si>
  <si>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</si>
  <si>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</si>
  <si>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</si>
  <si>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</si>
  <si>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</si>
  <si>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</si>
  <si>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</si>
  <si>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</si>
  <si>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</si>
  <si>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</si>
  <si>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</si>
  <si>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</si>
  <si>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</si>
  <si>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</si>
  <si>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</si>
  <si>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</si>
  <si>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</si>
  <si>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</si>
  <si>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</si>
  <si>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</si>
  <si>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</si>
  <si>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</si>
  <si>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</si>
  <si>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</si>
  <si>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</si>
  <si>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</si>
  <si>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</si>
  <si>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</si>
  <si>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</si>
  <si>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</si>
  <si>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</si>
  <si>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</si>
  <si>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</si>
  <si>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</si>
  <si>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</si>
  <si>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</si>
  <si>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</si>
  <si>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</si>
  <si>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</si>
  <si>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</si>
  <si>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</si>
  <si>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</si>
  <si>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</si>
  <si>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</si>
  <si>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</si>
  <si>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</si>
  <si>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</si>
  <si>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</si>
  <si>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</si>
  <si>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</si>
  <si>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</si>
  <si>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</si>
  <si>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</si>
  <si>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</si>
  <si>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</si>
  <si>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</si>
  <si>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</si>
  <si>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</si>
  <si>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</si>
  <si>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</si>
  <si>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</si>
  <si>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</si>
  <si>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</si>
  <si>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</si>
  <si>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</si>
  <si>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</si>
  <si>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</si>
  <si>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</si>
  <si>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</si>
  <si>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</si>
  <si>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</si>
  <si>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</si>
  <si>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</si>
  <si>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</si>
  <si>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</si>
  <si>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</si>
  <si>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</si>
  <si>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</si>
  <si>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</si>
  <si>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</si>
  <si>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</si>
  <si>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</si>
  <si>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</si>
  <si>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</si>
  <si>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</si>
  <si>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</si>
  <si>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</si>
  <si>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</si>
  <si>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</si>
  <si>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</si>
  <si>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</si>
  <si>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</si>
  <si>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</si>
  <si>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</si>
  <si>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</si>
  <si>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</si>
  <si>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</si>
  <si>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</si>
  <si>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</si>
  <si>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</si>
  <si>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</si>
  <si>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</si>
  <si>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</si>
  <si>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</si>
  <si>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</si>
  <si>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</si>
  <si>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</si>
  <si>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</si>
  <si>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</si>
  <si>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</si>
  <si>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</si>
  <si>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</si>
  <si>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</si>
  <si>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</si>
  <si>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</si>
  <si>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</si>
  <si>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</si>
  <si>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</si>
  <si>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</si>
  <si>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与级别开发程度不一致</t>
  </si>
  <si>
    <t>密云区沙河车站路1号1幢1至2层等4套</t>
    <phoneticPr fontId="7" type="noConversion"/>
  </si>
  <si>
    <t>北京财瑞通顺商贸有限责任公司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</si>
</sst>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1444</v>
      </c>
    </row>
    <row r="21" spans="1:2" s="1203" customFormat="1">
      <c r="A21" s="1201" t="s">
        <v>537</v>
      </c>
      <c r="B21" s="1202">
        <f ca="1">'预评函-2'!D7</f>
        <v>9246</v>
      </c>
    </row>
    <row r="22" spans="1:2" s="1203" customFormat="1">
      <c r="A22" s="1201" t="s">
        <v>538</v>
      </c>
      <c r="B22" s="1202" t="str">
        <f ca="1">'预评函-2'!D6</f>
        <v>壹仟肆佰肆拾肆万元整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1444</v>
      </c>
    </row>
    <row r="31" spans="1:2" s="1203" customFormat="1">
      <c r="A31" s="1201" t="s">
        <v>576</v>
      </c>
      <c r="B31" s="1202">
        <f ca="1">'预评函-2'!D15</f>
        <v>9246</v>
      </c>
    </row>
    <row r="32" spans="1:2" s="1203" customFormat="1">
      <c r="A32" s="1201" t="s">
        <v>543</v>
      </c>
      <c r="B32" s="1202" t="str">
        <f ca="1">'预评函-2'!D14</f>
        <v>壹仟肆佰肆拾肆万元整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917</v>
      </c>
    </row>
    <row r="48" spans="1:2" s="1203" customFormat="1">
      <c r="A48" s="1201" t="s">
        <v>549</v>
      </c>
      <c r="B48" s="1202">
        <f ca="1">'预评函-3'!E4</f>
        <v>5871</v>
      </c>
    </row>
    <row r="49" spans="1:2" s="1203" customFormat="1">
      <c r="A49" s="1201" t="s">
        <v>550</v>
      </c>
      <c r="B49" s="1202" t="str">
        <f ca="1">'预评函-3'!D5</f>
        <v>玖佰壹拾柒万元整</v>
      </c>
    </row>
    <row r="50" spans="1:2" s="1203" customFormat="1">
      <c r="A50" s="1201" t="s">
        <v>574</v>
      </c>
      <c r="B50" s="1202" t="str">
        <f>'预评函-3'!F2</f>
        <v>在建建筑物价值</v>
      </c>
    </row>
    <row r="51" spans="1:2" s="1203" customFormat="1">
      <c r="A51" s="1201" t="s">
        <v>551</v>
      </c>
      <c r="B51" s="1202">
        <f ca="1">'预评函-3'!F4</f>
        <v>527</v>
      </c>
    </row>
    <row r="52" spans="1:2" s="1203" customFormat="1">
      <c r="A52" s="1201" t="s">
        <v>552</v>
      </c>
      <c r="B52" s="1202">
        <f ca="1">'预评函-3'!G4</f>
        <v>3375</v>
      </c>
    </row>
    <row r="53" spans="1:2" s="1203" customFormat="1">
      <c r="A53" s="1201" t="s">
        <v>580</v>
      </c>
      <c r="B53" s="1202" t="str">
        <f ca="1">'预评函-3'!F5</f>
        <v>伍佰贰拾柒万元整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35"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36"/>
      <c r="D1" s="3536"/>
      <c r="E1" s="3536"/>
      <c r="F1" s="3536"/>
      <c r="G1" s="3536"/>
      <c r="H1" s="3536"/>
      <c r="I1" s="353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8"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39"/>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3484</v>
      </c>
      <c r="G10" s="2665"/>
      <c r="H10" s="2666"/>
      <c r="I10" s="2667"/>
      <c r="J10" s="2438"/>
      <c r="K10" s="2615"/>
      <c r="L10" s="2612"/>
      <c r="M10" s="2612"/>
      <c r="N10" s="2438"/>
      <c r="O10" s="2449"/>
      <c r="P10" s="2438"/>
      <c r="Q10" s="2438"/>
      <c r="R10" s="2438"/>
    </row>
    <row r="11" spans="1:30" ht="36">
      <c r="A11" s="2401" t="s">
        <v>2179</v>
      </c>
      <c r="B11" s="2402" t="s">
        <v>3464</v>
      </c>
      <c r="C11" s="3484" t="s">
        <v>3485</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45"/>
      <c r="C16" s="3546"/>
      <c r="D16" s="3547"/>
      <c r="E16" s="2412" t="s">
        <v>2192</v>
      </c>
      <c r="F16" s="3548"/>
      <c r="G16" s="3549"/>
      <c r="H16" s="3549"/>
      <c r="I16" s="3550"/>
      <c r="J16" s="2438"/>
      <c r="K16" s="2616"/>
      <c r="L16" s="2450"/>
      <c r="M16" s="2450"/>
      <c r="N16" s="2508"/>
      <c r="O16" s="2450"/>
      <c r="P16" s="2508"/>
      <c r="Q16" s="2438"/>
      <c r="R16" s="2438"/>
    </row>
    <row r="17" spans="1:28">
      <c r="A17" s="313" t="s">
        <v>2193</v>
      </c>
      <c r="B17" s="302" t="s">
        <v>2194</v>
      </c>
      <c r="C17" s="8">
        <f>'数据-汇总表'!E3</f>
        <v>1562.24</v>
      </c>
      <c r="D17" s="2322" t="s">
        <v>2195</v>
      </c>
      <c r="E17" s="3551" t="s">
        <v>2196</v>
      </c>
      <c r="F17" s="3552"/>
      <c r="G17" s="3552"/>
      <c r="H17" s="3552"/>
      <c r="I17" s="3553"/>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54"/>
      <c r="F18" s="3555"/>
      <c r="G18" s="3555"/>
      <c r="H18" s="3555"/>
      <c r="I18" s="3556"/>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41" t="s">
        <v>2203</v>
      </c>
      <c r="C20" s="3542"/>
      <c r="D20" s="3543" t="s">
        <v>2204</v>
      </c>
      <c r="E20" s="3544"/>
      <c r="F20" s="2646" t="s">
        <v>1056</v>
      </c>
      <c r="G20" s="2663"/>
      <c r="H20" s="2663"/>
      <c r="I20" s="2663"/>
      <c r="J20" s="2438"/>
      <c r="K20" s="3540"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2215</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27" t="s">
        <v>2225</v>
      </c>
      <c r="T34" s="2427" t="str">
        <f>NUMBERSTRING(7-K34,1)&amp;"通"</f>
        <v>七通</v>
      </c>
      <c r="U34" s="2438"/>
      <c r="V34" s="2438"/>
    </row>
    <row r="35" spans="1:30">
      <c r="A35" s="2428"/>
      <c r="B35" s="3534" t="s">
        <v>2226</v>
      </c>
      <c r="C35" s="3534"/>
      <c r="D35" s="3534"/>
      <c r="E35" s="353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6" t="s">
        <v>1130</v>
      </c>
      <c r="B2" s="3566"/>
      <c r="C2" s="3566"/>
      <c r="D2" s="796" t="s">
        <v>1106</v>
      </c>
      <c r="E2" s="1639" t="s">
        <v>1107</v>
      </c>
      <c r="F2" s="2658"/>
      <c r="G2" s="2649"/>
      <c r="H2" s="2650"/>
      <c r="I2" s="2325" t="s">
        <v>1131</v>
      </c>
      <c r="J2" s="2658"/>
      <c r="K2" s="2658"/>
      <c r="L2" s="2658"/>
      <c r="M2" s="2658"/>
      <c r="N2" s="2660"/>
      <c r="O2" s="2658"/>
      <c r="P2" s="2658"/>
    </row>
    <row r="3" spans="1:16" ht="15.75" thickBot="1">
      <c r="A3" s="3567" t="s">
        <v>1104</v>
      </c>
      <c r="B3" s="3567"/>
      <c r="C3" s="3567"/>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68"/>
      <c r="B4" s="3569"/>
      <c r="C4" s="3570"/>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1" t="s">
        <v>1109</v>
      </c>
      <c r="C5" s="3571"/>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1" t="s">
        <v>1110</v>
      </c>
      <c r="C6" s="3571"/>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3"/>
      <c r="B7" s="3564"/>
      <c r="C7" s="3565"/>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60" t="s">
        <v>1134</v>
      </c>
      <c r="L16" s="3561"/>
      <c r="M16" s="3561"/>
      <c r="N16" s="3561"/>
      <c r="O16" s="3561"/>
      <c r="P16" s="3562"/>
    </row>
    <row r="17" spans="1:19" ht="15">
      <c r="A17" s="1650" t="s">
        <v>1135</v>
      </c>
      <c r="B17" s="1651" t="s">
        <v>1136</v>
      </c>
      <c r="C17" s="1652" t="s">
        <v>1137</v>
      </c>
      <c r="D17" s="1653" t="s">
        <v>1125</v>
      </c>
      <c r="E17" s="1654" t="s">
        <v>1126</v>
      </c>
      <c r="F17" s="1655"/>
      <c r="G17" s="1656"/>
      <c r="H17" s="1657" t="s">
        <v>1138</v>
      </c>
      <c r="I17" s="1658" t="s">
        <v>1123</v>
      </c>
      <c r="J17" s="1139"/>
      <c r="K17" s="3557" t="s">
        <v>1139</v>
      </c>
      <c r="L17" s="3558"/>
      <c r="M17" s="3559"/>
      <c r="N17" s="3557" t="s">
        <v>1140</v>
      </c>
      <c r="O17" s="3558"/>
      <c r="P17" s="355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12"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1224.2497000000001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ROUND(1-(2023-N18)/50,2)</f>
        <v>0.6</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2" t="s">
        <v>2283</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6" sqref="B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1444</v>
      </c>
      <c r="C5" s="2511">
        <f ca="1">IF(B5=D14,结果表!H102,ROUND(B5*10000/$B$1,0))</f>
        <v>9246</v>
      </c>
      <c r="D5" s="2511" t="e">
        <f ca="1">ROUND(B5*10000/$B$2,0)</f>
        <v>#DIV/0!</v>
      </c>
      <c r="E5" s="2684"/>
      <c r="F5" s="2685"/>
      <c r="G5" s="2685"/>
      <c r="H5" s="2686"/>
      <c r="I5" s="2686"/>
      <c r="J5" s="2686"/>
      <c r="K5" s="2686"/>
    </row>
    <row r="6" spans="1:11" ht="16.5">
      <c r="A6" s="2511" t="s">
        <v>656</v>
      </c>
      <c r="B6" s="2511">
        <f ca="1">SUM(G14:G23)</f>
        <v>1444</v>
      </c>
      <c r="C6" s="2511">
        <f ca="1">IF(B6=G14,结果表!H108,ROUND(B6*10000/$B$1,0))</f>
        <v>9246</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1444</v>
      </c>
      <c r="E14" s="2517">
        <f ca="1">结果表!G20</f>
        <v>9246</v>
      </c>
      <c r="F14" s="2517" t="e">
        <f ca="1">ROUND(D14*10000/C14,0)</f>
        <v>#DIV/0!</v>
      </c>
      <c r="G14" s="2517">
        <f ca="1">D14</f>
        <v>1444</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08" t="str">
        <f>项目基本情况!S2</f>
        <v>北京市密云区沙河车站路1号1幢1至2层等4套房地产</v>
      </c>
      <c r="B2" s="3609"/>
      <c r="C2" s="3609"/>
      <c r="D2" s="3609"/>
      <c r="E2" s="3609"/>
      <c r="F2" s="3609"/>
      <c r="G2" s="3609"/>
      <c r="H2" s="3609"/>
      <c r="I2" s="3610"/>
    </row>
    <row r="3" spans="1:12" ht="12.75">
      <c r="A3" s="3612" t="s">
        <v>1263</v>
      </c>
      <c r="B3" s="3613"/>
      <c r="C3" s="3613"/>
      <c r="D3" s="3613"/>
      <c r="E3" s="3613"/>
      <c r="F3" s="3613"/>
      <c r="G3" s="3613"/>
      <c r="H3" s="3613"/>
      <c r="I3" s="3613"/>
    </row>
    <row r="4" spans="1:12" ht="14.25">
      <c r="A4" s="1754" t="s">
        <v>1264</v>
      </c>
      <c r="B4" s="1755" t="s">
        <v>1265</v>
      </c>
      <c r="C4" s="1756" t="s">
        <v>3465</v>
      </c>
      <c r="D4" s="1756" t="s">
        <v>3386</v>
      </c>
      <c r="E4" s="3614" t="s">
        <v>1266</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1267</v>
      </c>
      <c r="B5" s="3575">
        <v>25</v>
      </c>
      <c r="C5" s="3591"/>
      <c r="D5" s="3611"/>
      <c r="E5" s="131" t="s">
        <v>1268</v>
      </c>
      <c r="F5" s="1757"/>
      <c r="G5" s="1757"/>
      <c r="H5" s="1757"/>
      <c r="I5" s="1373"/>
    </row>
    <row r="6" spans="1:12" ht="12.75">
      <c r="A6" s="3588"/>
      <c r="B6" s="3575"/>
      <c r="C6" s="3592"/>
      <c r="D6" s="3611"/>
      <c r="E6" s="131" t="s">
        <v>1269</v>
      </c>
      <c r="F6" s="1757"/>
      <c r="G6" s="1757"/>
      <c r="H6" s="1757"/>
      <c r="I6" s="1373"/>
    </row>
    <row r="7" spans="1:12" ht="12.75">
      <c r="A7" s="3588"/>
      <c r="B7" s="3575"/>
      <c r="C7" s="3593"/>
      <c r="D7" s="3611"/>
      <c r="E7" s="131" t="s">
        <v>1270</v>
      </c>
      <c r="F7" s="1757"/>
      <c r="G7" s="1757"/>
      <c r="H7" s="1757"/>
      <c r="I7" s="1373"/>
    </row>
    <row r="8" spans="1:12" ht="12.75">
      <c r="A8" s="3588" t="s">
        <v>1271</v>
      </c>
      <c r="B8" s="3575">
        <v>15</v>
      </c>
      <c r="C8" s="3591"/>
      <c r="D8" s="3611"/>
      <c r="E8" s="131" t="s">
        <v>1272</v>
      </c>
      <c r="F8" s="1757"/>
      <c r="G8" s="1757"/>
      <c r="H8" s="1757"/>
      <c r="I8" s="1373"/>
    </row>
    <row r="9" spans="1:12" ht="12.75">
      <c r="A9" s="3588"/>
      <c r="B9" s="3575"/>
      <c r="C9" s="3593"/>
      <c r="D9" s="3611"/>
      <c r="E9" s="131" t="s">
        <v>1273</v>
      </c>
      <c r="F9" s="1757"/>
      <c r="G9" s="1757"/>
      <c r="H9" s="1757"/>
      <c r="I9" s="1373"/>
    </row>
    <row r="10" spans="1:12" ht="12.75">
      <c r="A10" s="3588" t="s">
        <v>1274</v>
      </c>
      <c r="B10" s="3575">
        <v>15</v>
      </c>
      <c r="C10" s="3591"/>
      <c r="D10" s="3611"/>
      <c r="E10" s="131" t="s">
        <v>1275</v>
      </c>
      <c r="F10" s="1757"/>
      <c r="G10" s="1757"/>
      <c r="H10" s="1757"/>
      <c r="I10" s="1373"/>
    </row>
    <row r="11" spans="1:12" ht="12.75">
      <c r="A11" s="3588"/>
      <c r="B11" s="3575"/>
      <c r="C11" s="3593"/>
      <c r="D11" s="3611"/>
      <c r="E11" s="131" t="s">
        <v>1276</v>
      </c>
      <c r="F11" s="1757"/>
      <c r="G11" s="1757"/>
      <c r="H11" s="1757"/>
      <c r="I11" s="1373"/>
    </row>
    <row r="12" spans="1:12" ht="12.75">
      <c r="A12" s="3588" t="s">
        <v>1277</v>
      </c>
      <c r="B12" s="3575">
        <v>15</v>
      </c>
      <c r="C12" s="3591"/>
      <c r="D12" s="3611"/>
      <c r="E12" s="131" t="s">
        <v>1278</v>
      </c>
      <c r="F12" s="1757"/>
      <c r="G12" s="1757"/>
      <c r="H12" s="1757"/>
      <c r="I12" s="1373"/>
    </row>
    <row r="13" spans="1:12" ht="12.75">
      <c r="A13" s="3588"/>
      <c r="B13" s="3575"/>
      <c r="C13" s="3593"/>
      <c r="D13" s="3611"/>
      <c r="E13" s="131" t="s">
        <v>1279</v>
      </c>
      <c r="F13" s="1757"/>
      <c r="G13" s="1757"/>
      <c r="H13" s="1757"/>
      <c r="I13" s="1373"/>
    </row>
    <row r="14" spans="1:12" ht="12.75">
      <c r="A14" s="3588" t="s">
        <v>1280</v>
      </c>
      <c r="B14" s="3575">
        <v>30</v>
      </c>
      <c r="C14" s="3591">
        <v>39</v>
      </c>
      <c r="D14" s="3611">
        <v>46</v>
      </c>
      <c r="E14" s="131" t="s">
        <v>1281</v>
      </c>
      <c r="F14" s="1757"/>
      <c r="G14" s="1757"/>
      <c r="H14" s="1757"/>
      <c r="I14" s="1373"/>
    </row>
    <row r="15" spans="1:12" ht="12.75">
      <c r="A15" s="3588"/>
      <c r="B15" s="3575"/>
      <c r="C15" s="3592"/>
      <c r="D15" s="3611"/>
      <c r="E15" s="131" t="s">
        <v>1282</v>
      </c>
      <c r="F15" s="1757"/>
      <c r="G15" s="1757"/>
      <c r="H15" s="1757"/>
      <c r="I15" s="1373"/>
    </row>
    <row r="16" spans="1:12" ht="12.75">
      <c r="A16" s="3588"/>
      <c r="B16" s="3575"/>
      <c r="C16" s="3593"/>
      <c r="D16" s="3611"/>
      <c r="E16" s="131" t="s">
        <v>1283</v>
      </c>
      <c r="F16" s="1757"/>
      <c r="G16" s="1757"/>
      <c r="H16" s="1757"/>
      <c r="I16" s="1373"/>
    </row>
    <row r="17" spans="1:36" ht="15">
      <c r="A17" s="1758" t="s">
        <v>1284</v>
      </c>
      <c r="B17" s="56"/>
      <c r="C17" s="132">
        <f>SUM(C5:C16)</f>
        <v>39</v>
      </c>
      <c r="D17" s="132">
        <f>SUM(D5:D16)</f>
        <v>46</v>
      </c>
      <c r="E17" s="129"/>
      <c r="F17" s="129"/>
      <c r="G17" s="129"/>
      <c r="H17" s="129"/>
      <c r="I17" s="129"/>
      <c r="K17" s="302"/>
      <c r="L17" s="302" t="s">
        <v>1285</v>
      </c>
      <c r="M17" s="302" t="s">
        <v>1286</v>
      </c>
    </row>
    <row r="18" spans="1:36" ht="31.9" customHeight="1" thickBot="1">
      <c r="A18" s="1759" t="s">
        <v>1287</v>
      </c>
      <c r="B18" s="1760"/>
      <c r="C18" s="133">
        <f>ROUND(C17/SUM(C17:D17),2)</f>
        <v>0.46</v>
      </c>
      <c r="D18" s="133">
        <f>1-C18</f>
        <v>0.54</v>
      </c>
      <c r="E18" s="3598" t="s">
        <v>2129</v>
      </c>
      <c r="F18" s="3599"/>
      <c r="G18" s="3599"/>
      <c r="H18" s="3599"/>
      <c r="I18" s="3599"/>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1702.85</v>
      </c>
      <c r="D19" s="135">
        <f ca="1">SUMIF(INDIRECT("'"&amp;D4&amp;"'"&amp;"!A:A"),结果表!B19,INDIRECT("'"&amp;D4&amp;"'"&amp;"!B:B"))</f>
        <v>1224.2497000000001</v>
      </c>
      <c r="E19" s="1761" t="s">
        <v>1291</v>
      </c>
      <c r="F19" s="1762" t="s">
        <v>1290</v>
      </c>
      <c r="G19" s="136">
        <f ca="1">ROUND(C19*$C$18+D19*$D$18,0)</f>
        <v>1444</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10900</v>
      </c>
      <c r="D20" s="138">
        <f ca="1">SUMIF(INDIRECT("'"&amp;D4&amp;"'"&amp;"!A:A"),结果表!B20,INDIRECT("'"&amp;D4&amp;"'"&amp;"!B:B"))</f>
        <v>7837</v>
      </c>
      <c r="E20" s="1764"/>
      <c r="F20" s="1026" t="s">
        <v>1294</v>
      </c>
      <c r="G20" s="139">
        <f ca="1">ROUND(C20*$C$18+D20*$D$18,0)</f>
        <v>9246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0.39093356526858836</v>
      </c>
      <c r="E22" s="129"/>
      <c r="F22" s="129"/>
      <c r="G22" s="129"/>
      <c r="H22" s="129"/>
      <c r="I22" s="129"/>
    </row>
    <row r="23" spans="1:36" ht="13.5" thickBot="1">
      <c r="A23" s="1747"/>
      <c r="B23" s="1747"/>
      <c r="C23" s="1747"/>
      <c r="D23" s="1747"/>
      <c r="E23" s="129"/>
      <c r="F23" s="129"/>
      <c r="G23" s="129"/>
      <c r="H23" s="129"/>
      <c r="I23" s="129"/>
    </row>
    <row r="24" spans="1:36" ht="14.25">
      <c r="A24" s="3582" t="s">
        <v>1298</v>
      </c>
      <c r="B24" s="1762" t="s">
        <v>1290</v>
      </c>
      <c r="C24" s="136">
        <f>IF(B30=0,0,D30)</f>
        <v>0</v>
      </c>
      <c r="D24" s="1769"/>
      <c r="E24" s="129"/>
      <c r="F24" s="129"/>
      <c r="G24" s="129"/>
      <c r="H24" s="129"/>
      <c r="I24" s="129"/>
    </row>
    <row r="25" spans="1:36" ht="14.25">
      <c r="A25" s="358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9246</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5871</v>
      </c>
      <c r="D34" s="861">
        <f ca="1">IF(C33="自定义",ROUND(C34/C32,3),IF(C33="收益比率",SUMIF(INDIRECT("'"&amp;D33&amp;"'"&amp;"!b:b"),"土地收益比率",INDIRECT("'"&amp;D33&amp;"'"&amp;"!c:c")),SUMIF(INDIRECT("'"&amp;D33&amp;"'"&amp;"!b:b"),"土地成本比率",INDIRECT("'"&amp;D33&amp;"'"&amp;"!c:c"))))</f>
        <v>0.63500000000000001</v>
      </c>
      <c r="E34" s="1783" t="s">
        <v>1308</v>
      </c>
      <c r="F34" s="1330"/>
      <c r="G34" s="129"/>
      <c r="H34" s="129"/>
      <c r="I34" s="129"/>
    </row>
    <row r="35" spans="1:15" ht="15.75" thickBot="1">
      <c r="A35" s="1784"/>
      <c r="B35" s="1785" t="s">
        <v>1309</v>
      </c>
      <c r="C35" s="1170">
        <f ca="1">IF(C33="自定义",F35,ROUND(C32*D35,0))</f>
        <v>3375</v>
      </c>
      <c r="D35" s="1171">
        <f ca="1">IF(C33="自定义",ROUND(C35/C32,3),IF(C33="收益比率",SUMIF(INDIRECT("'"&amp;D33&amp;"'"&amp;"!b:b"),"建筑物收益比率",INDIRECT("'"&amp;D33&amp;"'"&amp;"!c:c")),SUMIF(INDIRECT("'"&amp;D33&amp;"'"&amp;"!b:b"),"建筑物成本比率",INDIRECT("'"&amp;D33&amp;"'"&amp;"!c:c"))))</f>
        <v>0.36499999999999999</v>
      </c>
      <c r="E35" s="1786" t="s">
        <v>1310</v>
      </c>
      <c r="F35" s="154"/>
      <c r="G35" s="129"/>
      <c r="H35" s="129"/>
      <c r="I35" s="129"/>
    </row>
    <row r="36" spans="1:15" ht="15.75" thickBot="1">
      <c r="A36" s="3602" t="s">
        <v>1311</v>
      </c>
      <c r="B36" s="1787" t="s">
        <v>1312</v>
      </c>
      <c r="C36" s="145"/>
      <c r="D36" s="1788"/>
      <c r="E36" s="1789"/>
      <c r="F36" s="1790"/>
      <c r="G36" s="129"/>
      <c r="H36" s="129"/>
      <c r="I36" s="129"/>
    </row>
    <row r="37" spans="1:15" ht="15.75" thickBot="1">
      <c r="A37" s="3603"/>
      <c r="B37" s="1674" t="s">
        <v>1313</v>
      </c>
      <c r="C37" s="147"/>
      <c r="D37" s="1139"/>
      <c r="E37" s="1139"/>
      <c r="F37" s="1790"/>
      <c r="G37" s="129"/>
      <c r="H37" s="129"/>
      <c r="I37" s="129"/>
    </row>
    <row r="38" spans="1:15" ht="15.75" thickBot="1">
      <c r="A38" s="360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9" t="s">
        <v>1325</v>
      </c>
      <c r="B45" s="3580"/>
      <c r="C45" s="3581"/>
      <c r="D45" s="155">
        <f ca="1">ROUND(H101*F45,0)</f>
        <v>1444</v>
      </c>
      <c r="E45" s="156" t="s">
        <v>1326</v>
      </c>
      <c r="F45" s="157">
        <v>1</v>
      </c>
      <c r="G45" s="158" t="s">
        <v>1327</v>
      </c>
      <c r="H45" s="129"/>
      <c r="I45" s="129"/>
      <c r="J45" s="3657" t="s">
        <v>1328</v>
      </c>
      <c r="K45" s="3657"/>
      <c r="L45" s="3657"/>
      <c r="M45" s="3657"/>
      <c r="N45" s="3657"/>
      <c r="O45" s="3657"/>
    </row>
    <row r="46" spans="1:15" ht="14.25" customHeight="1">
      <c r="A46" s="3576" t="s">
        <v>1329</v>
      </c>
      <c r="B46" s="3577"/>
      <c r="C46" s="3577"/>
      <c r="D46" s="3577"/>
      <c r="E46" s="3577"/>
      <c r="F46" s="3577"/>
      <c r="G46" s="3578"/>
      <c r="H46" s="1806"/>
      <c r="I46" s="159"/>
      <c r="J46" s="2522">
        <v>1</v>
      </c>
      <c r="K46" s="3638" t="s">
        <v>1330</v>
      </c>
      <c r="L46" s="3638"/>
      <c r="M46" s="3658"/>
      <c r="N46" s="3658"/>
      <c r="O46" s="3658"/>
    </row>
    <row r="47" spans="1:15" ht="12" customHeight="1">
      <c r="A47" s="160" t="s">
        <v>1331</v>
      </c>
      <c r="B47" s="161"/>
      <c r="C47" s="162"/>
      <c r="D47" s="1087" t="s">
        <v>1332</v>
      </c>
      <c r="E47" s="302" t="s">
        <v>1333</v>
      </c>
      <c r="F47" s="163" t="s">
        <v>1334</v>
      </c>
      <c r="G47" s="2545" t="s">
        <v>1335</v>
      </c>
      <c r="H47" s="2546"/>
      <c r="I47" s="159"/>
      <c r="J47" s="2522">
        <v>2</v>
      </c>
      <c r="K47" s="3638" t="s">
        <v>1336</v>
      </c>
      <c r="L47" s="3638"/>
      <c r="M47" s="3659">
        <f>'数据-取费表'!B2</f>
        <v>45288</v>
      </c>
      <c r="N47" s="3659"/>
      <c r="O47" s="3659"/>
    </row>
    <row r="48" spans="1:15" ht="25.5">
      <c r="A48" s="3607" t="s">
        <v>1337</v>
      </c>
      <c r="B48" s="3590"/>
      <c r="C48" s="3590"/>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38" t="s">
        <v>1339</v>
      </c>
      <c r="L48" s="3638"/>
      <c r="M48" s="3660">
        <f ca="1">H101</f>
        <v>1444</v>
      </c>
      <c r="N48" s="3660"/>
      <c r="O48" s="3660"/>
    </row>
    <row r="49" spans="1:35" ht="25.5" customHeight="1">
      <c r="A49" s="2333" t="s">
        <v>1340</v>
      </c>
      <c r="B49" s="3574" t="s">
        <v>1341</v>
      </c>
      <c r="C49" s="3574"/>
      <c r="D49" s="1590">
        <v>0</v>
      </c>
      <c r="E49" s="324" t="s">
        <v>1342</v>
      </c>
      <c r="F49" s="2423" t="s">
        <v>28</v>
      </c>
      <c r="G49" s="3644"/>
      <c r="H49" s="2310" t="s">
        <v>2132</v>
      </c>
      <c r="I49" s="2311"/>
      <c r="J49" s="2522">
        <v>4</v>
      </c>
      <c r="K49" s="3638" t="str">
        <f>IF(项目基本情况!E8="房地产抵押价值","房地产抵押价值","抵押担保权已注销时的房地产抵押价值")</f>
        <v>房地产抵押价值</v>
      </c>
      <c r="L49" s="3638"/>
      <c r="M49" s="3660">
        <f ca="1">IF(项目基本情况!E8="房地产抵押价值",H107,H109)</f>
        <v>1444</v>
      </c>
      <c r="N49" s="3660"/>
      <c r="O49" s="3660"/>
    </row>
    <row r="50" spans="1:35" ht="25.5" customHeight="1">
      <c r="A50" s="2550"/>
      <c r="B50" s="3574" t="s">
        <v>1343</v>
      </c>
      <c r="C50" s="3574"/>
      <c r="D50" s="2551"/>
      <c r="E50" s="332"/>
      <c r="F50" s="2423"/>
      <c r="G50" s="3645"/>
      <c r="H50" s="2312" t="s">
        <v>2133</v>
      </c>
      <c r="I50" s="2311"/>
      <c r="J50" s="3657" t="s">
        <v>1344</v>
      </c>
      <c r="K50" s="3657"/>
      <c r="L50" s="3657"/>
      <c r="M50" s="3657"/>
      <c r="N50" s="3657"/>
      <c r="O50" s="3657"/>
    </row>
    <row r="51" spans="1:35" ht="20.45" customHeight="1">
      <c r="A51" s="2552"/>
      <c r="B51" s="3574" t="s">
        <v>1345</v>
      </c>
      <c r="C51" s="3574"/>
      <c r="D51" s="1087"/>
      <c r="E51" s="327"/>
      <c r="F51" s="2423"/>
      <c r="G51" s="3646"/>
      <c r="H51" s="2312" t="s">
        <v>2134</v>
      </c>
      <c r="I51" s="2311"/>
      <c r="J51" s="2523" t="s">
        <v>1346</v>
      </c>
      <c r="K51" s="3638" t="s">
        <v>1347</v>
      </c>
      <c r="L51" s="3638"/>
      <c r="M51" s="2523" t="s">
        <v>1348</v>
      </c>
      <c r="N51" s="2523" t="s">
        <v>1349</v>
      </c>
      <c r="O51" s="2523" t="s">
        <v>1350</v>
      </c>
    </row>
    <row r="52" spans="1:35" ht="24" customHeight="1">
      <c r="A52" s="2335" t="s">
        <v>1351</v>
      </c>
      <c r="B52" s="3574" t="s">
        <v>1352</v>
      </c>
      <c r="C52" s="3574"/>
      <c r="D52" s="1087">
        <f ca="1">ROUND(D45*'数据-取费表'!B41/(1+'数据-取费表'!C42),0)</f>
        <v>76</v>
      </c>
      <c r="E52" s="2334" t="s">
        <v>1353</v>
      </c>
      <c r="F52" s="2553">
        <f>'数据-取费表'!B41</f>
        <v>5.5000000000000007E-2</v>
      </c>
      <c r="G52" s="2554"/>
      <c r="H52" s="2543"/>
      <c r="I52" s="1807"/>
      <c r="J52" s="2522">
        <v>1</v>
      </c>
      <c r="K52" s="3639" t="s">
        <v>1354</v>
      </c>
      <c r="L52" s="3639"/>
      <c r="M52" s="2524" t="b">
        <f>D48</f>
        <v>0</v>
      </c>
      <c r="N52" s="2522" t="str">
        <f>E48</f>
        <v>销售额×税（费）率</v>
      </c>
      <c r="O52" s="2525">
        <f>F48</f>
        <v>5.5000000000000007E-2</v>
      </c>
    </row>
    <row r="53" spans="1:35" ht="12" customHeight="1">
      <c r="A53" s="2335" t="s">
        <v>1355</v>
      </c>
      <c r="B53" s="3600" t="s">
        <v>2288</v>
      </c>
      <c r="C53" s="3601"/>
      <c r="D53" s="1087">
        <f ca="1">ROUND(D45*'数据-取费表'!B41/(1+'数据-取费表'!C42),0)</f>
        <v>76</v>
      </c>
      <c r="E53" s="2334" t="s">
        <v>1353</v>
      </c>
      <c r="F53" s="2553">
        <f>'数据-取费表'!B41</f>
        <v>5.5000000000000007E-2</v>
      </c>
      <c r="G53" s="2554"/>
      <c r="H53" s="2543"/>
      <c r="I53" s="1807"/>
      <c r="J53" s="2522">
        <v>2</v>
      </c>
      <c r="K53" s="3639" t="s">
        <v>1356</v>
      </c>
      <c r="L53" s="3639"/>
      <c r="M53" s="2524">
        <f t="shared" ref="M53:O54" ca="1" si="0">D55</f>
        <v>1</v>
      </c>
      <c r="N53" s="2522" t="str">
        <f t="shared" si="0"/>
        <v>销售额×税（费）率</v>
      </c>
      <c r="O53" s="2525" t="str">
        <f t="shared" si="0"/>
        <v>免征</v>
      </c>
    </row>
    <row r="54" spans="1:35" ht="12" customHeight="1">
      <c r="A54" s="2335" t="s">
        <v>1357</v>
      </c>
      <c r="B54" s="3600" t="s">
        <v>2289</v>
      </c>
      <c r="C54" s="3601"/>
      <c r="D54" s="1087">
        <f ca="1">C68</f>
        <v>76</v>
      </c>
      <c r="E54" s="327" t="s">
        <v>1358</v>
      </c>
      <c r="F54" s="2553">
        <f>'数据-取费表'!B41</f>
        <v>5.5000000000000007E-2</v>
      </c>
      <c r="G54" s="2554"/>
      <c r="H54" s="2555"/>
      <c r="I54" s="1807"/>
      <c r="J54" s="2522">
        <v>3</v>
      </c>
      <c r="K54" s="3639" t="s">
        <v>1359</v>
      </c>
      <c r="L54" s="3639"/>
      <c r="M54" s="2524">
        <f t="shared" ca="1" si="0"/>
        <v>818</v>
      </c>
      <c r="N54" s="2522" t="str">
        <f t="shared" si="0"/>
        <v>增值额×税（费）率</v>
      </c>
      <c r="O54" s="2526" t="str">
        <f t="shared" si="0"/>
        <v>免征</v>
      </c>
    </row>
    <row r="55" spans="1:35" ht="24" customHeight="1">
      <c r="A55" s="3589" t="s">
        <v>1360</v>
      </c>
      <c r="B55" s="3590"/>
      <c r="C55" s="3590"/>
      <c r="D55" s="2324">
        <f ca="1">IF(H55="个人住宅",0,ROUND(D45*I55,0))</f>
        <v>1</v>
      </c>
      <c r="E55" s="2334" t="s">
        <v>1361</v>
      </c>
      <c r="F55" s="2553" t="str">
        <f>IF(H55="正常",I55,"免征")</f>
        <v>免征</v>
      </c>
      <c r="G55" s="2554"/>
      <c r="H55" s="2549"/>
      <c r="I55" s="165">
        <f>'数据-取费表'!B49</f>
        <v>5.0000000000000001E-4</v>
      </c>
      <c r="J55" s="2522">
        <f>IF(H59="非个人房产","",4)</f>
        <v>4</v>
      </c>
      <c r="K55" s="3639" t="str">
        <f>IF(H59="非个人房产","——","个人所得税")</f>
        <v>个人所得税</v>
      </c>
      <c r="L55" s="3639"/>
      <c r="M55" s="2527">
        <f ca="1">D59</f>
        <v>14</v>
      </c>
      <c r="N55" s="2040" t="str">
        <f>E59</f>
        <v>差额计税</v>
      </c>
      <c r="O55" s="2528">
        <f>F59</f>
        <v>0.01</v>
      </c>
    </row>
    <row r="56" spans="1:35" ht="24.75">
      <c r="A56" s="3589" t="s">
        <v>1362</v>
      </c>
      <c r="B56" s="3590"/>
      <c r="C56" s="3590"/>
      <c r="D56" s="2324">
        <f ca="1">IF(H56="个人住宅",D57,D58)</f>
        <v>818</v>
      </c>
      <c r="E56" s="2334" t="s">
        <v>1363</v>
      </c>
      <c r="F56" s="2553" t="str">
        <f>IF(H56="正常",F58,"免征")</f>
        <v>免征</v>
      </c>
      <c r="G56" s="2556" t="s">
        <v>1364</v>
      </c>
      <c r="H56" s="2557"/>
      <c r="I56" s="1808"/>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5" t="s">
        <v>1340</v>
      </c>
      <c r="B57" s="3600" t="s">
        <v>1365</v>
      </c>
      <c r="C57" s="3601"/>
      <c r="D57" s="1590">
        <v>0</v>
      </c>
      <c r="E57" s="324" t="s">
        <v>1342</v>
      </c>
      <c r="F57" s="302"/>
      <c r="G57" s="2554"/>
      <c r="H57" s="2558"/>
      <c r="I57" s="1808"/>
      <c r="J57" s="3639">
        <f>IF(AND(J55="",J56=""),4,IF(项目基本情况!K6="上海银行",结果表!J56+1,结果表!J55+1))</f>
        <v>5</v>
      </c>
      <c r="K57" s="3639" t="s">
        <v>1366</v>
      </c>
      <c r="L57" s="2529" t="s">
        <v>1367</v>
      </c>
      <c r="M57" s="2530"/>
      <c r="N57" s="2531">
        <f ca="1">SUMIF(M52:M56,"&lt;9e307")</f>
        <v>833</v>
      </c>
      <c r="O57" s="2532"/>
      <c r="P57" s="2688">
        <f ca="1">N57/M49</f>
        <v>0.57686980609418281</v>
      </c>
    </row>
    <row r="58" spans="1:35" ht="24.75">
      <c r="A58" s="2335" t="s">
        <v>1351</v>
      </c>
      <c r="B58" s="3600" t="s">
        <v>1368</v>
      </c>
      <c r="C58" s="3574"/>
      <c r="D58" s="2324">
        <f ca="1">IF(H58="转让取得",C81,C97)</f>
        <v>818</v>
      </c>
      <c r="E58" s="2334" t="s">
        <v>1363</v>
      </c>
      <c r="F58" s="302" t="s">
        <v>28</v>
      </c>
      <c r="G58" s="2554"/>
      <c r="H58" s="2557"/>
      <c r="I58" s="1808"/>
      <c r="J58" s="3639"/>
      <c r="K58" s="3639"/>
      <c r="L58" s="2529" t="s">
        <v>1369</v>
      </c>
      <c r="M58" s="2533"/>
      <c r="N58" s="2534" t="str">
        <f ca="1">NUMBERSTRING(INT(N57*10000),2)&amp;"元整"</f>
        <v>捌佰叁拾叁万元整</v>
      </c>
      <c r="O58" s="2535"/>
    </row>
    <row r="59" spans="1:35" ht="24.75" thickBot="1">
      <c r="A59" s="3642" t="s">
        <v>1370</v>
      </c>
      <c r="B59" s="3643"/>
      <c r="C59" s="3643"/>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40">
        <f>J57+1</f>
        <v>6</v>
      </c>
      <c r="K59" s="3639" t="s">
        <v>1371</v>
      </c>
      <c r="L59" s="2522" t="s">
        <v>1367</v>
      </c>
      <c r="M59" s="2536"/>
      <c r="N59" s="2537">
        <f ca="1">M49-N57</f>
        <v>611</v>
      </c>
      <c r="O59" s="2538"/>
    </row>
    <row r="60" spans="1:35" ht="12" customHeight="1">
      <c r="A60" s="1809"/>
      <c r="B60" s="1747"/>
      <c r="C60" s="1747"/>
      <c r="D60" s="1747"/>
      <c r="E60" s="1578"/>
      <c r="F60" s="1808"/>
      <c r="G60" s="1808"/>
      <c r="H60" s="1810"/>
      <c r="I60" s="129"/>
      <c r="J60" s="3641"/>
      <c r="K60" s="3639"/>
      <c r="L60" s="2529" t="s">
        <v>1369</v>
      </c>
      <c r="M60" s="2533"/>
      <c r="N60" s="2534" t="str">
        <f ca="1">NUMBERSTRING(INT(N59*10000),2)&amp;"元整"</f>
        <v>陆佰壹拾壹万元整</v>
      </c>
      <c r="O60" s="2535"/>
    </row>
    <row r="61" spans="1:35" ht="13.5" thickBot="1">
      <c r="A61" s="3587" t="s">
        <v>1372</v>
      </c>
      <c r="B61" s="3587"/>
      <c r="C61" s="3587"/>
      <c r="D61" s="3587"/>
      <c r="E61" s="3587"/>
      <c r="F61" s="1808"/>
      <c r="G61" s="1808"/>
      <c r="H61" s="1810"/>
      <c r="I61" s="129"/>
      <c r="J61" s="2522">
        <f>J59+1</f>
        <v>7</v>
      </c>
      <c r="K61" s="3639" t="s">
        <v>1373</v>
      </c>
      <c r="L61" s="3639"/>
      <c r="M61" s="2539"/>
      <c r="N61" s="2540">
        <f ca="1">ROUND(N59*10000/'数据-汇总表'!E3,0)</f>
        <v>3911</v>
      </c>
      <c r="O61" s="2541"/>
    </row>
    <row r="62" spans="1:35" ht="12.75">
      <c r="A62" s="3605" t="s">
        <v>1374</v>
      </c>
      <c r="B62" s="3606"/>
      <c r="C62" s="2021"/>
      <c r="D62" s="2021" t="s">
        <v>1375</v>
      </c>
      <c r="E62" s="166" t="s">
        <v>1376</v>
      </c>
      <c r="F62" s="1808"/>
      <c r="G62" s="1808"/>
      <c r="H62" s="1810"/>
      <c r="I62" s="129"/>
    </row>
    <row r="63" spans="1:35" ht="12.75">
      <c r="A63" s="173" t="s">
        <v>330</v>
      </c>
      <c r="B63" s="167" t="s">
        <v>1377</v>
      </c>
      <c r="C63" s="2563">
        <f ca="1">ROUND((C64+C65)/(1+'数据-取费表'!C42),0)</f>
        <v>1375</v>
      </c>
      <c r="D63" s="167"/>
      <c r="E63" s="168"/>
      <c r="F63" s="1808"/>
      <c r="G63" s="1808"/>
      <c r="H63" s="1810"/>
      <c r="I63" s="129"/>
      <c r="J63" s="3664" t="s">
        <v>1378</v>
      </c>
      <c r="K63" s="1332" t="s">
        <v>1379</v>
      </c>
      <c r="L63" s="1332">
        <f ca="1">IF(M49&gt;10000,M49*0.5%,IF(AND(M49&gt;1000,M49&lt;=10000),M49*1%,IF(AND(M49&gt;100,M49&lt;=1000),M49*3%,IF(AND(M49&gt;10,M49&lt;=100),M49*5%,M49*8%))))</f>
        <v>14.44</v>
      </c>
      <c r="M63" s="302">
        <f ca="1">ROUND(L63,1)</f>
        <v>14.4</v>
      </c>
      <c r="N63" s="2542"/>
      <c r="Z63" s="1752"/>
      <c r="AI63" s="1753"/>
    </row>
    <row r="64" spans="1:35" ht="14.25" customHeight="1">
      <c r="A64" s="169" t="s">
        <v>325</v>
      </c>
      <c r="B64" s="170" t="s">
        <v>1380</v>
      </c>
      <c r="C64" s="2564">
        <f ca="1">D45</f>
        <v>1444</v>
      </c>
      <c r="D64" s="170" t="s">
        <v>26</v>
      </c>
      <c r="E64" s="172"/>
      <c r="F64" s="1808"/>
      <c r="G64" s="1808"/>
      <c r="H64" s="1810"/>
      <c r="I64" s="129"/>
      <c r="J64" s="3664"/>
      <c r="K64" s="1332" t="s">
        <v>1381</v>
      </c>
      <c r="L64" s="1332">
        <f ca="1">IF(M49&gt;2000,M49*0.5%,IF(AND(M49&gt;1000,M49&lt;=2000),M49*0.6%,IF(AND(M49&gt;500,M49&lt;=1000),M49*0.7%,IF(AND(M49&gt;200,M49&lt;=500),M49*0.8%,IF(AND(M49&gt;100,M49&lt;=200),M49*0.9%,IF(AND(M49&gt;50,M49&lt;=100),M49*1%,IF(AND(M49&gt;20,M49&lt;=50),M49*1.5%,IF(AND(M49&gt;10,M49&lt;=20),M49*2%,IF(AND(M49&gt;1,M49&lt;=10),M49*2.5%)))))))))</f>
        <v>8.6639999999999997</v>
      </c>
      <c r="M64" s="302">
        <f t="shared" ref="M64:M65" ca="1" si="1">ROUND(L64,1)</f>
        <v>8.6999999999999993</v>
      </c>
      <c r="N64" s="2543" t="s">
        <v>1382</v>
      </c>
      <c r="Z64" s="1752"/>
      <c r="AI64" s="1753"/>
    </row>
    <row r="65" spans="1:35" ht="14.25" customHeight="1">
      <c r="A65" s="169" t="s">
        <v>326</v>
      </c>
      <c r="B65" s="170" t="s">
        <v>1383</v>
      </c>
      <c r="C65" s="2565"/>
      <c r="D65" s="170"/>
      <c r="E65" s="172"/>
      <c r="F65" s="1808"/>
      <c r="G65" s="1808"/>
      <c r="H65" s="1810"/>
      <c r="I65" s="129"/>
      <c r="J65" s="3664"/>
      <c r="K65" s="1332" t="s">
        <v>1384</v>
      </c>
      <c r="L65" s="1332">
        <f ca="1">IF(M49&gt;1000,M49*0.1%,IF(AND(M49&gt;500,M49&lt;=1000),M49*0.5%,IF(AND(M49&gt;50,M49&lt;=500),M49*1%,IF(AND(M49&gt;1,M49&lt;=50),M49*1.5%))))</f>
        <v>1.444</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664"/>
      <c r="K66" s="1332" t="s">
        <v>1386</v>
      </c>
      <c r="L66" s="1332">
        <f ca="1">M49*0.5%</f>
        <v>7.22</v>
      </c>
      <c r="M66" s="302">
        <f ca="1">IF(L66&gt;0.5,0.5,ROUND(L66,0))</f>
        <v>0.5</v>
      </c>
      <c r="N66" s="2543" t="s">
        <v>1387</v>
      </c>
      <c r="Z66" s="1752"/>
      <c r="AI66" s="1753"/>
    </row>
    <row r="67" spans="1:35" ht="14.25" customHeight="1">
      <c r="A67" s="173" t="s">
        <v>328</v>
      </c>
      <c r="B67" s="174" t="s">
        <v>1388</v>
      </c>
      <c r="C67" s="2567">
        <f ca="1">C63-C66</f>
        <v>1375</v>
      </c>
      <c r="D67" s="170" t="s">
        <v>26</v>
      </c>
      <c r="E67" s="172"/>
      <c r="F67" s="1808"/>
      <c r="G67" s="1808"/>
      <c r="H67" s="1810"/>
      <c r="I67" s="129"/>
      <c r="J67" s="3664"/>
      <c r="K67" s="1332" t="s">
        <v>1389</v>
      </c>
      <c r="L67" s="1332">
        <f ca="1">IF(M49&gt;=10000,(8.25+(M49-10000)*0.01%),IF(AND(M49&gt;=8000,M49&lt;10000),(7.85+(M49-8000)*0.02%),IF(AND(M49&gt;=5000,M49&lt;8000),(6.65+(M49-5000)*0.04%),IF(AND(M49&gt;=2000,M49&lt;5000),(4.25+(PM49-2000)*0.08%),IF(AND(M49&gt;=1000,M49&lt;2000),(2.75+(M49-1000)*0.15%),IF(AND(M49&gt;=100,M49&lt;1000),(0.5+(M49-100)*0.25%),IF(AND(M49&gt;0,M49&lt;100),M49*0.5%)))))))</f>
        <v>3.4159999999999999</v>
      </c>
      <c r="M67" s="302">
        <f ca="1">ROUND(L67*0.9,1)</f>
        <v>3.1</v>
      </c>
      <c r="N67" s="2542"/>
      <c r="Z67" s="1752"/>
      <c r="AI67" s="1753"/>
    </row>
    <row r="68" spans="1:35" ht="14.25" customHeight="1" thickBot="1">
      <c r="A68" s="176" t="s">
        <v>329</v>
      </c>
      <c r="B68" s="177" t="s">
        <v>1390</v>
      </c>
      <c r="C68" s="2568">
        <f ca="1">IF(C67&lt;=0,0,ROUND(C67*D68,0))</f>
        <v>76</v>
      </c>
      <c r="D68" s="2569">
        <f>'数据-取费表'!B41</f>
        <v>5.5000000000000007E-2</v>
      </c>
      <c r="E68" s="178"/>
      <c r="F68" s="1808"/>
      <c r="G68" s="1808"/>
      <c r="H68" s="1810"/>
      <c r="I68" s="129"/>
      <c r="J68" s="3664"/>
      <c r="K68" s="1332" t="s">
        <v>1391</v>
      </c>
      <c r="L68" s="1332">
        <f ca="1">IF(M49&gt;10000,M49*0.5%,IF(AND(M49&gt;5000,M49&lt;=10000),M49*1%,IF(AND(M49&gt;1000,M49&lt;=5000),M49*2%,IF(AND(M49&gt;200,M49&lt;=1000),M49*3%,M49*5%))))</f>
        <v>28.88</v>
      </c>
      <c r="M68" s="302">
        <f ca="1">ROUND(L68,1)</f>
        <v>28.9</v>
      </c>
      <c r="N68" s="2542"/>
      <c r="Z68" s="1752"/>
      <c r="AI68" s="1753"/>
    </row>
    <row r="69" spans="1:35" s="1772" customFormat="1" ht="16.5" customHeight="1">
      <c r="A69" s="1811"/>
      <c r="B69" s="1812"/>
      <c r="C69" s="1813"/>
      <c r="D69" s="1814"/>
      <c r="E69" s="1815"/>
      <c r="F69" s="1578"/>
      <c r="G69" s="1578"/>
      <c r="H69" s="1577"/>
      <c r="I69" s="1747"/>
      <c r="J69" s="3664"/>
      <c r="K69" s="1332" t="s">
        <v>1392</v>
      </c>
      <c r="L69" s="1332"/>
      <c r="M69" s="302">
        <f ca="1">ROUND(SUM(M63:M68),0)</f>
        <v>57</v>
      </c>
      <c r="N69" s="2544">
        <f ca="1">M69/M49</f>
        <v>3.9473684210526314E-2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1393</v>
      </c>
      <c r="B70" s="3627"/>
      <c r="C70" s="3627"/>
      <c r="D70" s="3627"/>
      <c r="E70" s="3627"/>
      <c r="F70" s="3627"/>
      <c r="G70" s="3627"/>
      <c r="H70" s="362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1374</v>
      </c>
      <c r="B71" s="3606"/>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1375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00" t="s">
        <v>1401</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584" t="s">
        <v>1405</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195.42857142857142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818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1409</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1374</v>
      </c>
      <c r="B84" s="360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66" t="s">
        <v>2127</v>
      </c>
      <c r="H90" s="3667"/>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4" t="s">
        <v>1418</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4" t="s">
        <v>1421</v>
      </c>
      <c r="F92" s="3585"/>
      <c r="G92" s="3585"/>
      <c r="H92" s="3594"/>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584" t="s">
        <v>1405</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95" t="s">
        <v>1425</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195.42857142857142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818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8" t="s">
        <v>1427</v>
      </c>
      <c r="B100" s="3569"/>
      <c r="C100" s="3569"/>
      <c r="D100" s="3586"/>
      <c r="E100" s="3569" t="s">
        <v>1428</v>
      </c>
      <c r="F100" s="3569"/>
      <c r="G100" s="3569"/>
      <c r="H100" s="3586"/>
      <c r="I100" s="129"/>
    </row>
    <row r="101" spans="1:35" ht="18.75" customHeight="1">
      <c r="A101" s="3647" t="s">
        <v>1429</v>
      </c>
      <c r="B101" s="3648"/>
      <c r="C101" s="2584" t="str">
        <f>C4</f>
        <v>成本法 (元)</v>
      </c>
      <c r="D101" s="2585" t="str">
        <f>D4</f>
        <v>收益法 (元)</v>
      </c>
      <c r="E101" s="3661" t="s">
        <v>1430</v>
      </c>
      <c r="F101" s="3618"/>
      <c r="G101" s="1827" t="s">
        <v>1431</v>
      </c>
      <c r="H101" s="2594">
        <f ca="1">H118</f>
        <v>1444</v>
      </c>
      <c r="I101" s="129"/>
    </row>
    <row r="102" spans="1:35" ht="18.75" customHeight="1">
      <c r="A102" s="3620" t="s">
        <v>1432</v>
      </c>
      <c r="B102" s="2583" t="s">
        <v>1431</v>
      </c>
      <c r="C102" s="2584">
        <f ca="1">IF(D32="楼面单价",ROUND(C19,0),C19)</f>
        <v>1703</v>
      </c>
      <c r="D102" s="2585">
        <f ca="1">IF(D32="楼面单价",ROUND(D19,0),D19)</f>
        <v>1224</v>
      </c>
      <c r="E102" s="3661"/>
      <c r="F102" s="3618"/>
      <c r="G102" s="1827" t="s">
        <v>1433</v>
      </c>
      <c r="H102" s="2554">
        <f ca="1">I118</f>
        <v>9246</v>
      </c>
      <c r="I102" s="129"/>
    </row>
    <row r="103" spans="1:35" ht="42.75" customHeight="1">
      <c r="A103" s="3620"/>
      <c r="B103" s="2583" t="s">
        <v>1433</v>
      </c>
      <c r="C103" s="2586">
        <f ca="1">C20</f>
        <v>10900</v>
      </c>
      <c r="D103" s="2587">
        <f ca="1">D20</f>
        <v>7837</v>
      </c>
      <c r="E103" s="3655" t="s">
        <v>1434</v>
      </c>
      <c r="F103" s="3656"/>
      <c r="G103" s="1828" t="s">
        <v>1435</v>
      </c>
      <c r="H103" s="2594">
        <f>IF(D36="正常操作",H104+H105+H106,H105+H106)</f>
        <v>0</v>
      </c>
      <c r="I103" s="129"/>
    </row>
    <row r="104" spans="1:35" ht="18.75" customHeight="1">
      <c r="A104" s="3620" t="s">
        <v>1436</v>
      </c>
      <c r="B104" s="2588" t="s">
        <v>1431</v>
      </c>
      <c r="C104" s="2589">
        <f ca="1">H118</f>
        <v>1444</v>
      </c>
      <c r="D104" s="2590"/>
      <c r="E104" s="1674" t="s">
        <v>1437</v>
      </c>
      <c r="F104" s="1666"/>
      <c r="G104" s="1828" t="s">
        <v>1435</v>
      </c>
      <c r="H104" s="2595">
        <f>IF(D36="同一抵押权人同一抵押物续贷",C36&amp;"（续贷，未扣减，详见特别提示）",C36)</f>
        <v>0</v>
      </c>
      <c r="I104" s="129"/>
    </row>
    <row r="105" spans="1:35" ht="18.75" customHeight="1" thickBot="1">
      <c r="A105" s="3621"/>
      <c r="B105" s="2591" t="s">
        <v>1433</v>
      </c>
      <c r="C105" s="2592">
        <f ca="1">I118</f>
        <v>9246</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7" t="str">
        <f>IF(项目基本情况!E8="已注销","——","3.房地产抵押价值")</f>
        <v>3.房地产抵押价值</v>
      </c>
      <c r="F107" s="3618"/>
      <c r="G107" s="1827" t="s">
        <v>1431</v>
      </c>
      <c r="H107" s="2594">
        <f ca="1">IF(E107="——","——",H101-H103)</f>
        <v>1444</v>
      </c>
      <c r="I107" s="129"/>
    </row>
    <row r="108" spans="1:35" ht="18.75" customHeight="1">
      <c r="A108" s="129"/>
      <c r="B108" s="129"/>
      <c r="C108" s="129"/>
      <c r="D108" s="129"/>
      <c r="E108" s="3617"/>
      <c r="F108" s="3618"/>
      <c r="G108" s="1827" t="s">
        <v>1433</v>
      </c>
      <c r="H108" s="2554">
        <f ca="1">IF(H107=H101,H102,ROUND(H107*10000/'数据-汇总表'!E3,0))</f>
        <v>9246</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1431</v>
      </c>
      <c r="H109" s="2597" t="str">
        <f>IF(E109="——","——",H101-H105-H106)</f>
        <v>——</v>
      </c>
      <c r="I109" s="129"/>
    </row>
    <row r="110" spans="1:35" ht="18.75" customHeight="1">
      <c r="A110" s="129"/>
      <c r="B110" s="129"/>
      <c r="C110" s="129"/>
      <c r="D110" s="129"/>
      <c r="E110" s="3617"/>
      <c r="F110" s="3618"/>
      <c r="G110" s="1827" t="s">
        <v>1433</v>
      </c>
      <c r="H110" s="2554"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1431</v>
      </c>
      <c r="H111" s="2594" t="str">
        <f>IF(E111="——","——",N59)</f>
        <v>——</v>
      </c>
      <c r="I111" s="129"/>
    </row>
    <row r="112" spans="1:35" ht="18.75" customHeight="1" thickBot="1">
      <c r="A112" s="129"/>
      <c r="B112" s="129"/>
      <c r="C112" s="129"/>
      <c r="D112" s="129"/>
      <c r="E112" s="3650"/>
      <c r="F112" s="3651"/>
      <c r="G112" s="1830" t="s">
        <v>1433</v>
      </c>
      <c r="H112" s="2598" t="str">
        <f>IF(E111="——","——",N61)</f>
        <v>——</v>
      </c>
      <c r="I112" s="129"/>
    </row>
    <row r="113" spans="1:27" ht="18.75" customHeight="1">
      <c r="A113" s="129"/>
      <c r="B113" s="129"/>
      <c r="C113" s="129"/>
      <c r="D113" s="129"/>
      <c r="E113" s="3622" t="s">
        <v>1439</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1441</v>
      </c>
      <c r="B115" s="3633"/>
      <c r="C115" s="3633"/>
      <c r="D115" s="3633"/>
      <c r="E115" s="3633"/>
      <c r="F115" s="3633"/>
      <c r="G115" s="3633"/>
      <c r="H115" s="3633"/>
      <c r="I115" s="3634"/>
    </row>
    <row r="116" spans="1:27" ht="27" customHeight="1">
      <c r="A116" s="3588" t="s">
        <v>1442</v>
      </c>
      <c r="B116" s="3623" t="s">
        <v>1443</v>
      </c>
      <c r="C116" s="3623" t="s">
        <v>1444</v>
      </c>
      <c r="D116" s="3636" t="s">
        <v>1445</v>
      </c>
      <c r="E116" s="3637"/>
      <c r="F116" s="3631" t="s">
        <v>1446</v>
      </c>
      <c r="G116" s="3631"/>
      <c r="H116" s="3588" t="s">
        <v>1447</v>
      </c>
      <c r="I116" s="3588"/>
    </row>
    <row r="117" spans="1:27" ht="18.75" customHeight="1">
      <c r="A117" s="3588"/>
      <c r="B117" s="3624"/>
      <c r="C117" s="3624"/>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917</v>
      </c>
      <c r="E118" s="2329">
        <f ca="1">ROUND(IF(C33="自定义",IF(D32="楼面单价",C34,D118*10000/B118),I118-G118),0)</f>
        <v>5871</v>
      </c>
      <c r="F118" s="2329">
        <f ca="1">ROUND(IF(D32="总价",C35,G118*B118/10000),0)</f>
        <v>527</v>
      </c>
      <c r="G118" s="2329">
        <f ca="1">ROUND(IF(D32="楼面单价",C35,F118*10000/B118),0)</f>
        <v>3375</v>
      </c>
      <c r="H118" s="2329">
        <f ca="1">ROUND(IF(D32="总价",C32,I118*B118/10000),0)</f>
        <v>1444</v>
      </c>
      <c r="I118" s="2329">
        <f ca="1">ROUND(IF(D32="楼面单价",C32,H118*10000/B118),0)</f>
        <v>9246</v>
      </c>
    </row>
    <row r="119" spans="1:27" ht="18.75" customHeight="1">
      <c r="A119" s="3588" t="s">
        <v>1451</v>
      </c>
      <c r="B119" s="3588"/>
      <c r="C119" s="3588"/>
      <c r="D119" s="3628" t="str">
        <f ca="1">NUMBERSTRING(INT(D118*10000),2)&amp;"元整"</f>
        <v>玖佰壹拾柒万元整</v>
      </c>
      <c r="E119" s="3630"/>
      <c r="F119" s="3628" t="str">
        <f ca="1">NUMBERSTRING(INT(F118*10000),2)&amp;"元整"</f>
        <v>伍佰贰拾柒万元整</v>
      </c>
      <c r="G119" s="3630"/>
      <c r="H119" s="3628" t="str">
        <f ca="1">NUMBERSTRING(INT(H118*10000),2)&amp;"元整"</f>
        <v>壹仟肆佰肆拾肆万元整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1451</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f ca="1">H107</f>
        <v>1444</v>
      </c>
      <c r="E122" s="3653"/>
      <c r="F122" s="3653"/>
      <c r="G122" s="3653"/>
      <c r="H122" s="3653"/>
      <c r="I122" s="3654"/>
      <c r="AA122" s="725"/>
    </row>
    <row r="123" spans="1:27" ht="18.75" customHeight="1">
      <c r="A123" s="3588" t="s">
        <v>1451</v>
      </c>
      <c r="B123" s="3588"/>
      <c r="C123" s="3588"/>
      <c r="D123" s="3628" t="str">
        <f ca="1">NUMBERSTRING(INT(D122*10000),2)&amp;"元整"</f>
        <v>壹仟肆佰肆拾肆万元整</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1451</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1451</v>
      </c>
      <c r="B127" s="3588"/>
      <c r="C127" s="3588"/>
      <c r="D127" s="3628" t="e">
        <f>NUMBERSTRING(INT(D126*10000),2)&amp;"元整"</f>
        <v>#VALUE!</v>
      </c>
      <c r="E127" s="3629"/>
      <c r="F127" s="3629"/>
      <c r="G127" s="3629"/>
      <c r="H127" s="3629"/>
      <c r="I127" s="3630"/>
      <c r="AA127" s="725"/>
    </row>
    <row r="128" spans="1:27" ht="21.75" customHeight="1">
      <c r="A128" s="3635" t="s">
        <v>1452</v>
      </c>
      <c r="B128" s="3635"/>
      <c r="C128" s="3635"/>
      <c r="D128" s="3635"/>
      <c r="E128" s="3635"/>
      <c r="F128" s="3635"/>
      <c r="G128" s="3635"/>
      <c r="H128" s="3635"/>
      <c r="I128" s="363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488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8" t="s">
        <v>1543</v>
      </c>
    </row>
    <row r="43" spans="1:7" ht="13.5" customHeight="1">
      <c r="A43" s="780" t="s">
        <v>347</v>
      </c>
      <c r="B43" s="215" t="s">
        <v>1544</v>
      </c>
      <c r="C43" s="238">
        <f ca="1">ROUND(IF('数据-取费表'!B22&lt;=1,C39*F22*'数据-取费表'!B21/2,C39*(POWER((1+F22),'数据-取费表'!B21/2)-1)),0)</f>
        <v>0</v>
      </c>
      <c r="D43" s="238"/>
      <c r="E43" s="238"/>
      <c r="F43" s="239"/>
      <c r="G43" s="3669"/>
    </row>
    <row r="44" spans="1:7" ht="13.5" customHeight="1">
      <c r="A44" s="780" t="s">
        <v>348</v>
      </c>
      <c r="B44" s="215" t="s">
        <v>1545</v>
      </c>
      <c r="C44" s="238">
        <f ca="1">ROUND(IF('数据-取费表'!B22&lt;=1,C40*F22*'数据-取费表'!B21/2,C40*(POWER((1+F22),'数据-取费表'!B21/2)-1)),4)</f>
        <v>2.9999999999999997E-4</v>
      </c>
      <c r="D44" s="238"/>
      <c r="E44" s="238"/>
      <c r="F44" s="239"/>
      <c r="G44" s="3670"/>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449</v>
      </c>
      <c r="D51" s="232"/>
      <c r="E51" s="232"/>
      <c r="F51" s="264"/>
      <c r="G51" s="234" t="s">
        <v>1559</v>
      </c>
    </row>
    <row r="52" spans="1:7" s="208" customFormat="1" ht="16.5" thickBot="1">
      <c r="A52" s="265" t="s">
        <v>1560</v>
      </c>
      <c r="B52" s="266"/>
      <c r="C52" s="267">
        <f ca="1">C31+C51</f>
        <v>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北京市密云区沙河车站路1号1幢1至2层等4套房地产抵押价值预评估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85" zoomScaleNormal="80" zoomScaleSheetLayoutView="85" workbookViewId="0">
      <selection activeCell="D52" sqref="D5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945</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6620</v>
      </c>
      <c r="U2" s="1213">
        <f>'数据-汇总表'!F19-基准地价修正!U3</f>
        <v>969.41499999999996</v>
      </c>
      <c r="V2" s="3359">
        <f>ROUND(T2*U2/10000,0)</f>
        <v>642</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5103</v>
      </c>
      <c r="U3" s="1213">
        <f>1185.65/2</f>
        <v>592.82500000000005</v>
      </c>
      <c r="V3" s="3359">
        <f t="shared" ref="V3:V16" si="1">ROUND(T3*U3/10000,0)</f>
        <v>303</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4163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5615</v>
      </c>
      <c r="D5" s="1339">
        <f>ROUND(C6*C17+C20,0)</f>
        <v>5615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3534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3220</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7"/>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2" t="s">
        <v>3255</v>
      </c>
      <c r="B20" s="167" t="s">
        <v>1993</v>
      </c>
      <c r="C20" s="3323">
        <f>ROUND(IF(F21="与级别开发程度一致",0,(G21-E21)/C21),0)</f>
        <v>-5</v>
      </c>
      <c r="D20" s="3339" t="s">
        <v>1997</v>
      </c>
      <c r="E20" s="3340"/>
      <c r="F20" s="3688" t="s">
        <v>1994</v>
      </c>
      <c r="G20" s="3689"/>
      <c r="H20" s="3324" t="s">
        <v>3389</v>
      </c>
      <c r="I20" s="3324" t="s">
        <v>3390</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3483</v>
      </c>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1.0186999999999999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945</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6620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2147</v>
      </c>
      <c r="D37" s="2098"/>
      <c r="E37" s="171">
        <f>ROUND(C37*D37/10000,0)</f>
        <v>0</v>
      </c>
      <c r="F37" s="171">
        <f>SUMIF(修正!A57:A68,G2,修正!B57:B68)</f>
        <v>0.5</v>
      </c>
      <c r="G37" s="171">
        <f>ROUND(IF(E2="工业",C37*$M$42,C37*$M$41),0)</f>
        <v>537</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859</v>
      </c>
      <c r="D38" s="2098"/>
      <c r="E38" s="171">
        <f t="shared" ref="E38:E42" si="4">ROUND(C38*D38/10000,0)</f>
        <v>0</v>
      </c>
      <c r="F38" s="171">
        <f>SUMIF(修正!A57:A68,G2,修正!C57:C68)</f>
        <v>0.2</v>
      </c>
      <c r="G38" s="171">
        <f>ROUND(IF(E2="工业",C38*$M$42,C38*$M$41),0)</f>
        <v>215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7"/>
      <c r="B39" s="2041" t="s">
        <v>3259</v>
      </c>
      <c r="C39" s="175">
        <f>ROUND(D5*C22*C23*C24*C28*F39,0)</f>
        <v>859</v>
      </c>
      <c r="D39" s="2098"/>
      <c r="E39" s="171">
        <f t="shared" si="4"/>
        <v>0</v>
      </c>
      <c r="F39" s="171">
        <f>SUMIF(修正!A57:A68,G2,修正!D57:D68)</f>
        <v>0.2</v>
      </c>
      <c r="G39" s="171">
        <f>ROUND(IF(E2="工业",C39*$M$42,C39*$M$41),0)</f>
        <v>215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859</v>
      </c>
      <c r="D40" s="2098"/>
      <c r="E40" s="171">
        <f t="shared" si="4"/>
        <v>0</v>
      </c>
      <c r="F40" s="175">
        <f>SUMIF(修正!A57:A68,G2,修正!E57:E68)</f>
        <v>0.2</v>
      </c>
      <c r="G40" s="171">
        <f>ROUND(IF(E2="工业",C40*$M$42,C40*$M$41),0)</f>
        <v>215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1.0186999999999999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3397</v>
      </c>
      <c r="D50" s="1065">
        <f t="shared" ref="D50:D58" si="7">SUMIF($J$49:$N$49,C50,J50:N50)</f>
        <v>0</v>
      </c>
      <c r="E50" s="744">
        <f>ROUND(SUM(D50:D58),4)</f>
        <v>1.8700000000000001E-2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3396</v>
      </c>
      <c r="D52" s="1065">
        <f t="shared" si="7"/>
        <v>8.9999999999999993E-3</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3396</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3396</v>
      </c>
      <c r="D57" s="1065">
        <f t="shared" si="7"/>
        <v>6.0000000000000001E-3</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4" t="s">
        <v>3294</v>
      </c>
      <c r="B103" s="3684"/>
      <c r="C103" s="3684"/>
      <c r="D103" s="3684"/>
      <c r="E103" s="3684"/>
      <c r="F103" s="3684"/>
      <c r="G103" s="3684"/>
      <c r="H103" s="3684"/>
      <c r="I103" s="3684"/>
      <c r="J103" s="3684"/>
      <c r="K103" s="3388"/>
      <c r="L103" s="3388"/>
      <c r="M103" s="3388"/>
      <c r="N103" s="3388"/>
    </row>
    <row r="104" spans="1:14">
      <c r="A104" s="3685" t="s">
        <v>3295</v>
      </c>
      <c r="B104" s="3685" t="s">
        <v>3296</v>
      </c>
      <c r="C104" s="3389" t="s">
        <v>3297</v>
      </c>
      <c r="D104" s="3390"/>
      <c r="E104" s="3390"/>
      <c r="F104" s="3390"/>
      <c r="G104" s="3390"/>
      <c r="H104" s="3390"/>
      <c r="I104" s="3390"/>
      <c r="J104" s="3391"/>
      <c r="K104" s="3392"/>
      <c r="L104" s="3392"/>
      <c r="M104" s="3392"/>
      <c r="N104" s="3392"/>
    </row>
    <row r="105" spans="1:14">
      <c r="A105" s="3685"/>
      <c r="B105" s="3685"/>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1"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2"/>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4" t="s">
        <v>3311</v>
      </c>
      <c r="B113" s="3674"/>
      <c r="C113" s="3674"/>
      <c r="D113" s="3674"/>
      <c r="E113" s="3674"/>
      <c r="F113" s="3674"/>
      <c r="G113" s="3674"/>
      <c r="H113" s="3674"/>
      <c r="I113" s="3674"/>
      <c r="J113" s="367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4" t="s">
        <v>1771</v>
      </c>
      <c r="AC4" s="3706" t="s">
        <v>1772</v>
      </c>
    </row>
    <row r="5" spans="1:29" ht="15">
      <c r="A5" s="358"/>
      <c r="B5" s="359"/>
      <c r="C5" s="3732" t="s">
        <v>1672</v>
      </c>
      <c r="D5" s="3728"/>
      <c r="E5" s="3735" t="s">
        <v>3462</v>
      </c>
      <c r="F5" s="3736"/>
      <c r="G5" s="3727" t="s">
        <v>3463</v>
      </c>
      <c r="H5" s="3728"/>
      <c r="I5" s="3727" t="s">
        <v>3442</v>
      </c>
      <c r="J5" s="3728"/>
      <c r="K5" s="559"/>
      <c r="L5" s="2713"/>
      <c r="M5" s="2714"/>
      <c r="N5" s="2714"/>
      <c r="O5" s="2714"/>
      <c r="P5" s="3715"/>
      <c r="Q5" s="3716"/>
      <c r="R5" s="3721"/>
      <c r="S5" s="3722"/>
      <c r="T5" s="3721"/>
      <c r="U5" s="3722"/>
      <c r="V5" s="3704"/>
      <c r="W5" s="3704"/>
      <c r="X5" s="1355"/>
      <c r="Y5" s="3721"/>
      <c r="Z5" s="3722"/>
      <c r="AA5" s="3707"/>
      <c r="AB5" s="3704"/>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4"/>
      <c r="AC6" s="3708"/>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9" t="s">
        <v>1679</v>
      </c>
      <c r="Q7" s="3731"/>
      <c r="R7" s="701" t="s">
        <v>14</v>
      </c>
      <c r="S7" s="702">
        <f t="shared" ref="S7:S15" si="0">F7</f>
        <v>100</v>
      </c>
      <c r="T7" s="701" t="s">
        <v>14</v>
      </c>
      <c r="U7" s="702">
        <f t="shared" ref="U7:U15" si="1">H7</f>
        <v>100</v>
      </c>
      <c r="V7" s="701" t="s">
        <v>14</v>
      </c>
      <c r="W7" s="702">
        <f t="shared" ref="W7:W15" si="2">J7</f>
        <v>100</v>
      </c>
      <c r="X7" s="703"/>
      <c r="Y7" s="3729" t="s">
        <v>1679</v>
      </c>
      <c r="Z7" s="3730"/>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9" t="s">
        <v>1682</v>
      </c>
      <c r="Q8" s="3730"/>
      <c r="R8" s="701" t="s">
        <v>14</v>
      </c>
      <c r="S8" s="702">
        <f t="shared" si="0"/>
        <v>102</v>
      </c>
      <c r="T8" s="701" t="s">
        <v>14</v>
      </c>
      <c r="U8" s="702">
        <f t="shared" si="1"/>
        <v>102</v>
      </c>
      <c r="V8" s="701" t="s">
        <v>14</v>
      </c>
      <c r="W8" s="702">
        <f t="shared" si="2"/>
        <v>102</v>
      </c>
      <c r="X8" s="703"/>
      <c r="Y8" s="3729" t="s">
        <v>1682</v>
      </c>
      <c r="Z8" s="3730"/>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695" t="s">
        <v>1690</v>
      </c>
      <c r="Q15" s="1352" t="str">
        <f t="shared" si="6"/>
        <v>商业繁华度</v>
      </c>
      <c r="R15" s="705" t="s">
        <v>14</v>
      </c>
      <c r="S15" s="706">
        <f t="shared" si="0"/>
        <v>100</v>
      </c>
      <c r="T15" s="705" t="s">
        <v>14</v>
      </c>
      <c r="U15" s="706">
        <f t="shared" si="1"/>
        <v>100</v>
      </c>
      <c r="V15" s="705" t="s">
        <v>14</v>
      </c>
      <c r="W15" s="706">
        <f t="shared" si="2"/>
        <v>97</v>
      </c>
      <c r="X15" s="1355"/>
      <c r="Y15" s="3697"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696"/>
      <c r="Q16" s="1352"/>
      <c r="R16" s="705"/>
      <c r="S16" s="706"/>
      <c r="T16" s="705"/>
      <c r="U16" s="706"/>
      <c r="V16" s="705"/>
      <c r="W16" s="706"/>
      <c r="X16" s="1355"/>
      <c r="Y16" s="369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6"/>
      <c r="Q18" s="1352"/>
      <c r="R18" s="705"/>
      <c r="S18" s="706"/>
      <c r="T18" s="705"/>
      <c r="U18" s="706"/>
      <c r="V18" s="705"/>
      <c r="W18" s="706"/>
      <c r="X18" s="1355"/>
      <c r="Y18" s="369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6"/>
      <c r="Q20" s="1352"/>
      <c r="R20" s="705"/>
      <c r="S20" s="706"/>
      <c r="T20" s="705"/>
      <c r="U20" s="706"/>
      <c r="V20" s="705"/>
      <c r="W20" s="706"/>
      <c r="X20" s="1355"/>
      <c r="Y20" s="369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6"/>
      <c r="Q22" s="1352"/>
      <c r="R22" s="705"/>
      <c r="S22" s="706"/>
      <c r="T22" s="705"/>
      <c r="U22" s="706"/>
      <c r="V22" s="705"/>
      <c r="W22" s="706"/>
      <c r="X22" s="1355"/>
      <c r="Y22" s="369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6"/>
      <c r="Q24" s="1352"/>
      <c r="R24" s="705"/>
      <c r="S24" s="706"/>
      <c r="T24" s="705"/>
      <c r="U24" s="706"/>
      <c r="V24" s="705"/>
      <c r="W24" s="706"/>
      <c r="X24" s="1355"/>
      <c r="Y24" s="369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696"/>
      <c r="Q27" s="1343" t="str">
        <f t="shared" si="11"/>
        <v>人流量</v>
      </c>
      <c r="R27" s="701" t="s">
        <v>14</v>
      </c>
      <c r="S27" s="702">
        <f>F27</f>
        <v>100</v>
      </c>
      <c r="T27" s="701" t="s">
        <v>14</v>
      </c>
      <c r="U27" s="702">
        <f>H27</f>
        <v>100</v>
      </c>
      <c r="V27" s="701" t="s">
        <v>14</v>
      </c>
      <c r="W27" s="702">
        <f>J27</f>
        <v>97</v>
      </c>
      <c r="X27" s="703"/>
      <c r="Y27" s="3698"/>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699" t="s">
        <v>1695</v>
      </c>
      <c r="Q32" s="1352" t="str">
        <f t="shared" si="11"/>
        <v>商业类型</v>
      </c>
      <c r="R32" s="705" t="s">
        <v>14</v>
      </c>
      <c r="S32" s="706">
        <f t="shared" si="12"/>
        <v>100</v>
      </c>
      <c r="T32" s="705" t="s">
        <v>14</v>
      </c>
      <c r="U32" s="706">
        <f t="shared" si="13"/>
        <v>100</v>
      </c>
      <c r="V32" s="705" t="s">
        <v>14</v>
      </c>
      <c r="W32" s="706">
        <f t="shared" si="14"/>
        <v>100</v>
      </c>
      <c r="X32" s="1355"/>
      <c r="Y32" s="3702"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00"/>
      <c r="Q33" s="707" t="str">
        <f t="shared" si="11"/>
        <v>项目建筑规模</v>
      </c>
      <c r="R33" s="708" t="s">
        <v>14</v>
      </c>
      <c r="S33" s="709">
        <f t="shared" si="12"/>
        <v>104</v>
      </c>
      <c r="T33" s="708" t="s">
        <v>14</v>
      </c>
      <c r="U33" s="709">
        <f t="shared" si="13"/>
        <v>104</v>
      </c>
      <c r="V33" s="708" t="s">
        <v>14</v>
      </c>
      <c r="W33" s="709">
        <f t="shared" si="14"/>
        <v>106</v>
      </c>
      <c r="X33" s="710"/>
      <c r="Y33" s="3702"/>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0"/>
      <c r="Q36" s="1352" t="str">
        <f t="shared" si="11"/>
        <v>成新度</v>
      </c>
      <c r="R36" s="705" t="s">
        <v>14</v>
      </c>
      <c r="S36" s="706">
        <f t="shared" si="12"/>
        <v>100</v>
      </c>
      <c r="T36" s="705" t="s">
        <v>14</v>
      </c>
      <c r="U36" s="706">
        <f t="shared" si="13"/>
        <v>100</v>
      </c>
      <c r="V36" s="705" t="s">
        <v>14</v>
      </c>
      <c r="W36" s="706">
        <f t="shared" si="14"/>
        <v>100</v>
      </c>
      <c r="X36" s="1355"/>
      <c r="Y36" s="3702"/>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0" t="s">
        <v>1695</v>
      </c>
      <c r="Q38" s="1352" t="str">
        <f t="shared" si="11"/>
        <v>业态</v>
      </c>
      <c r="R38" s="705" t="s">
        <v>14</v>
      </c>
      <c r="S38" s="706">
        <f t="shared" si="12"/>
        <v>100</v>
      </c>
      <c r="T38" s="705" t="s">
        <v>14</v>
      </c>
      <c r="U38" s="706">
        <f t="shared" si="13"/>
        <v>100</v>
      </c>
      <c r="V38" s="705" t="s">
        <v>14</v>
      </c>
      <c r="W38" s="706">
        <f t="shared" si="14"/>
        <v>100</v>
      </c>
      <c r="X38" s="1355"/>
      <c r="Y38" s="3702"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00"/>
      <c r="Q39" s="1352" t="str">
        <f t="shared" si="11"/>
        <v>层高</v>
      </c>
      <c r="R39" s="705" t="s">
        <v>14</v>
      </c>
      <c r="S39" s="706">
        <f t="shared" si="12"/>
        <v>110</v>
      </c>
      <c r="T39" s="705" t="s">
        <v>14</v>
      </c>
      <c r="U39" s="706">
        <f t="shared" si="13"/>
        <v>100</v>
      </c>
      <c r="V39" s="705" t="s">
        <v>14</v>
      </c>
      <c r="W39" s="706">
        <f t="shared" si="14"/>
        <v>100</v>
      </c>
      <c r="X39" s="1355"/>
      <c r="Y39" s="3702"/>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00"/>
      <c r="Q42" s="1352" t="str">
        <f t="shared" si="11"/>
        <v>内部装修</v>
      </c>
      <c r="R42" s="705" t="s">
        <v>14</v>
      </c>
      <c r="S42" s="706">
        <f t="shared" si="12"/>
        <v>100</v>
      </c>
      <c r="T42" s="705" t="s">
        <v>14</v>
      </c>
      <c r="U42" s="706">
        <f t="shared" si="13"/>
        <v>98</v>
      </c>
      <c r="V42" s="705" t="s">
        <v>14</v>
      </c>
      <c r="W42" s="706">
        <f t="shared" si="14"/>
        <v>100</v>
      </c>
      <c r="X42" s="1355"/>
      <c r="Y42" s="3702"/>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690" t="str">
        <f>A47</f>
        <v>成交单价（元/平方米）</v>
      </c>
      <c r="Q47" s="3690"/>
      <c r="R47" s="3704">
        <f>E47</f>
        <v>34151</v>
      </c>
      <c r="S47" s="3704"/>
      <c r="T47" s="3704">
        <f>G47</f>
        <v>30705</v>
      </c>
      <c r="U47" s="3704"/>
      <c r="V47" s="3704">
        <f>I47</f>
        <v>29922</v>
      </c>
      <c r="W47" s="3704"/>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690" t="str">
        <f>A48</f>
        <v>比较价值（元/平方米）</v>
      </c>
      <c r="Q48" s="3690"/>
      <c r="R48" s="3691">
        <f>IF(F1="售价",ROUND(PRODUCT(R47,AA7:AA46),0),ROUND(PRODUCT(R47,AA7:AA46),1))</f>
        <v>29267</v>
      </c>
      <c r="S48" s="3691"/>
      <c r="T48" s="3691">
        <f>IF(F1="售价",ROUND(PRODUCT(T47,AB7:AB46),0),ROUND(PRODUCT(T47,AB7:AB46),1))</f>
        <v>29536</v>
      </c>
      <c r="U48" s="3691"/>
      <c r="V48" s="3691">
        <f>IF(F1="售价",ROUND(PRODUCT(V47,AC7:AC46),0),ROUND(PRODUCT(V47,AC7:AC46),1))</f>
        <v>29413</v>
      </c>
      <c r="W48" s="3691"/>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692" t="str">
        <f>A49</f>
        <v>估价对象XX用房的比较价值（楼面单价，元/平方米）</v>
      </c>
      <c r="Q49" s="3693"/>
      <c r="R49" s="3694">
        <f>IF(F1="售价",ROUND(IF(D48="简单平均",AVERAGE(R48:V48),R48*F48+T48*H48+V48*J48),0),ROUND(IF(D48="简单平均",AVERAGE(R48:V48),R48*F48+T48*H48+V48*J48),1))</f>
        <v>29405</v>
      </c>
      <c r="S49" s="3694"/>
      <c r="T49" s="3694"/>
      <c r="U49" s="3694"/>
      <c r="V49" s="3694"/>
      <c r="W49" s="3694"/>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09" t="s">
        <v>1666</v>
      </c>
      <c r="D4" s="3710"/>
      <c r="E4" s="3711" t="s">
        <v>1667</v>
      </c>
      <c r="F4" s="3712"/>
      <c r="G4" s="3709" t="s">
        <v>1668</v>
      </c>
      <c r="H4" s="3710"/>
      <c r="I4" s="3709" t="s">
        <v>1669</v>
      </c>
      <c r="J4" s="3710"/>
      <c r="K4" s="559" t="s">
        <v>1670</v>
      </c>
      <c r="L4" s="2713"/>
      <c r="M4" s="2714"/>
      <c r="N4" s="2714"/>
      <c r="O4" s="2714"/>
      <c r="P4" s="3713" t="s">
        <v>1671</v>
      </c>
      <c r="Q4" s="3714"/>
      <c r="R4" s="3719" t="s">
        <v>1667</v>
      </c>
      <c r="S4" s="3720"/>
      <c r="T4" s="3719" t="s">
        <v>1668</v>
      </c>
      <c r="U4" s="3720"/>
      <c r="V4" s="3704" t="s">
        <v>1669</v>
      </c>
      <c r="W4" s="3704"/>
      <c r="X4" s="3455"/>
      <c r="Y4" s="3719" t="s">
        <v>1671</v>
      </c>
      <c r="Z4" s="3720"/>
      <c r="AA4" s="3706" t="s">
        <v>1667</v>
      </c>
      <c r="AB4" s="3704" t="s">
        <v>1668</v>
      </c>
      <c r="AC4" s="3706" t="s">
        <v>1669</v>
      </c>
    </row>
    <row r="5" spans="1:29" ht="15">
      <c r="A5" s="358"/>
      <c r="B5" s="359"/>
      <c r="C5" s="3732" t="s">
        <v>1672</v>
      </c>
      <c r="D5" s="3728"/>
      <c r="E5" s="3735" t="s">
        <v>3450</v>
      </c>
      <c r="F5" s="3736"/>
      <c r="G5" s="3727" t="s">
        <v>3454</v>
      </c>
      <c r="H5" s="3728"/>
      <c r="I5" s="3727" t="s">
        <v>3452</v>
      </c>
      <c r="J5" s="3728"/>
      <c r="K5" s="559"/>
      <c r="L5" s="2713"/>
      <c r="M5" s="2714"/>
      <c r="N5" s="2714"/>
      <c r="O5" s="2714"/>
      <c r="P5" s="3715"/>
      <c r="Q5" s="3716"/>
      <c r="R5" s="3721"/>
      <c r="S5" s="3722"/>
      <c r="T5" s="3721"/>
      <c r="U5" s="3722"/>
      <c r="V5" s="3704"/>
      <c r="W5" s="3704"/>
      <c r="X5" s="3455"/>
      <c r="Y5" s="3721"/>
      <c r="Z5" s="3722"/>
      <c r="AA5" s="3707"/>
      <c r="AB5" s="3704"/>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3455"/>
      <c r="Y6" s="3723"/>
      <c r="Z6" s="3724"/>
      <c r="AA6" s="3708"/>
      <c r="AB6" s="3704"/>
      <c r="AC6" s="3708"/>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9" t="s">
        <v>1679</v>
      </c>
      <c r="Q7" s="3731"/>
      <c r="R7" s="701" t="s">
        <v>14</v>
      </c>
      <c r="S7" s="702">
        <f t="shared" ref="S7:S15" si="0">F7</f>
        <v>100</v>
      </c>
      <c r="T7" s="701" t="s">
        <v>14</v>
      </c>
      <c r="U7" s="702">
        <f t="shared" ref="U7:U15" si="1">H7</f>
        <v>100</v>
      </c>
      <c r="V7" s="701" t="s">
        <v>14</v>
      </c>
      <c r="W7" s="702">
        <f t="shared" ref="W7:W15" si="2">J7</f>
        <v>100</v>
      </c>
      <c r="X7" s="703"/>
      <c r="Y7" s="3729" t="s">
        <v>1679</v>
      </c>
      <c r="Z7" s="3730"/>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9" t="s">
        <v>1682</v>
      </c>
      <c r="Q8" s="3730"/>
      <c r="R8" s="701" t="s">
        <v>14</v>
      </c>
      <c r="S8" s="702">
        <f t="shared" si="0"/>
        <v>102</v>
      </c>
      <c r="T8" s="701" t="s">
        <v>14</v>
      </c>
      <c r="U8" s="702">
        <f t="shared" si="1"/>
        <v>102</v>
      </c>
      <c r="V8" s="701" t="s">
        <v>14</v>
      </c>
      <c r="W8" s="702">
        <f t="shared" si="2"/>
        <v>102</v>
      </c>
      <c r="X8" s="703"/>
      <c r="Y8" s="3729" t="s">
        <v>1682</v>
      </c>
      <c r="Z8" s="3730"/>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5" t="s">
        <v>1685</v>
      </c>
      <c r="Q9" s="3454" t="str">
        <f t="shared" ref="Q9:Q15" si="6">B9</f>
        <v>用途</v>
      </c>
      <c r="R9" s="701" t="s">
        <v>14</v>
      </c>
      <c r="S9" s="702">
        <f t="shared" si="0"/>
        <v>100</v>
      </c>
      <c r="T9" s="701" t="s">
        <v>14</v>
      </c>
      <c r="U9" s="702">
        <f t="shared" si="1"/>
        <v>100</v>
      </c>
      <c r="V9" s="701" t="s">
        <v>14</v>
      </c>
      <c r="W9" s="702">
        <f t="shared" si="2"/>
        <v>100</v>
      </c>
      <c r="X9" s="703"/>
      <c r="Y9" s="3575"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5"/>
      <c r="Q10" s="3454" t="str">
        <f t="shared" si="6"/>
        <v>土地使用年限（年）</v>
      </c>
      <c r="R10" s="701" t="s">
        <v>14</v>
      </c>
      <c r="S10" s="702">
        <f t="shared" si="0"/>
        <v>100</v>
      </c>
      <c r="T10" s="701" t="s">
        <v>14</v>
      </c>
      <c r="U10" s="702">
        <f t="shared" si="1"/>
        <v>100</v>
      </c>
      <c r="V10" s="701" t="s">
        <v>14</v>
      </c>
      <c r="W10" s="702">
        <f t="shared" si="2"/>
        <v>100</v>
      </c>
      <c r="X10" s="703"/>
      <c r="Y10" s="3575"/>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5"/>
      <c r="Q11" s="3454" t="str">
        <f t="shared" si="6"/>
        <v>容积率</v>
      </c>
      <c r="R11" s="701" t="s">
        <v>14</v>
      </c>
      <c r="S11" s="702">
        <f t="shared" si="0"/>
        <v>100</v>
      </c>
      <c r="T11" s="701" t="s">
        <v>14</v>
      </c>
      <c r="U11" s="702">
        <f t="shared" si="1"/>
        <v>100</v>
      </c>
      <c r="V11" s="701" t="s">
        <v>14</v>
      </c>
      <c r="W11" s="702">
        <f t="shared" si="2"/>
        <v>100</v>
      </c>
      <c r="X11" s="703"/>
      <c r="Y11" s="3575"/>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5"/>
      <c r="Q12" s="3454">
        <f t="shared" si="6"/>
        <v>111</v>
      </c>
      <c r="R12" s="701" t="s">
        <v>14</v>
      </c>
      <c r="S12" s="702">
        <f t="shared" si="0"/>
        <v>100</v>
      </c>
      <c r="T12" s="701" t="s">
        <v>14</v>
      </c>
      <c r="U12" s="702">
        <f t="shared" si="1"/>
        <v>100</v>
      </c>
      <c r="V12" s="701" t="s">
        <v>14</v>
      </c>
      <c r="W12" s="702">
        <f t="shared" si="2"/>
        <v>100</v>
      </c>
      <c r="X12" s="703"/>
      <c r="Y12" s="3575"/>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5"/>
      <c r="Q13" s="3454">
        <f t="shared" si="6"/>
        <v>111</v>
      </c>
      <c r="R13" s="701" t="s">
        <v>14</v>
      </c>
      <c r="S13" s="702">
        <f t="shared" si="0"/>
        <v>100</v>
      </c>
      <c r="T13" s="701" t="s">
        <v>14</v>
      </c>
      <c r="U13" s="702">
        <f t="shared" si="1"/>
        <v>100</v>
      </c>
      <c r="V13" s="701" t="s">
        <v>14</v>
      </c>
      <c r="W13" s="702">
        <f t="shared" si="2"/>
        <v>100</v>
      </c>
      <c r="X13" s="703"/>
      <c r="Y13" s="3575"/>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5"/>
      <c r="Q14" s="3454">
        <f t="shared" si="6"/>
        <v>111</v>
      </c>
      <c r="R14" s="701" t="s">
        <v>14</v>
      </c>
      <c r="S14" s="702">
        <f t="shared" si="0"/>
        <v>100</v>
      </c>
      <c r="T14" s="701" t="s">
        <v>14</v>
      </c>
      <c r="U14" s="702">
        <f t="shared" si="1"/>
        <v>100</v>
      </c>
      <c r="V14" s="701" t="s">
        <v>14</v>
      </c>
      <c r="W14" s="702">
        <f t="shared" si="2"/>
        <v>100</v>
      </c>
      <c r="X14" s="703"/>
      <c r="Y14" s="3575"/>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695" t="s">
        <v>1690</v>
      </c>
      <c r="Q15" s="3457" t="str">
        <f t="shared" si="6"/>
        <v>商业繁华度</v>
      </c>
      <c r="R15" s="705" t="s">
        <v>14</v>
      </c>
      <c r="S15" s="706">
        <f t="shared" si="0"/>
        <v>100</v>
      </c>
      <c r="T15" s="705" t="s">
        <v>14</v>
      </c>
      <c r="U15" s="706">
        <f t="shared" si="1"/>
        <v>97</v>
      </c>
      <c r="V15" s="705" t="s">
        <v>14</v>
      </c>
      <c r="W15" s="706">
        <f t="shared" si="2"/>
        <v>100</v>
      </c>
      <c r="X15" s="3455"/>
      <c r="Y15" s="3697"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696"/>
      <c r="Q16" s="3457"/>
      <c r="R16" s="705"/>
      <c r="S16" s="706"/>
      <c r="T16" s="705"/>
      <c r="U16" s="706"/>
      <c r="V16" s="705"/>
      <c r="W16" s="706"/>
      <c r="X16" s="3455"/>
      <c r="Y16" s="3698"/>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6"/>
      <c r="Q17" s="3457" t="str">
        <f>B17</f>
        <v>交通便捷度</v>
      </c>
      <c r="R17" s="705" t="s">
        <v>14</v>
      </c>
      <c r="S17" s="706">
        <f>F17</f>
        <v>100</v>
      </c>
      <c r="T17" s="705" t="s">
        <v>14</v>
      </c>
      <c r="U17" s="706">
        <f>H17</f>
        <v>100</v>
      </c>
      <c r="V17" s="705" t="s">
        <v>14</v>
      </c>
      <c r="W17" s="706">
        <f>J17</f>
        <v>100</v>
      </c>
      <c r="X17" s="3455"/>
      <c r="Y17" s="3698"/>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6"/>
      <c r="Q18" s="3457"/>
      <c r="R18" s="705"/>
      <c r="S18" s="706"/>
      <c r="T18" s="705"/>
      <c r="U18" s="706"/>
      <c r="V18" s="705"/>
      <c r="W18" s="706"/>
      <c r="X18" s="3455"/>
      <c r="Y18" s="3698"/>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6"/>
      <c r="Q19" s="3457" t="str">
        <f>B19</f>
        <v>公共配套设施</v>
      </c>
      <c r="R19" s="705" t="s">
        <v>14</v>
      </c>
      <c r="S19" s="706">
        <f>F19</f>
        <v>100</v>
      </c>
      <c r="T19" s="705" t="s">
        <v>14</v>
      </c>
      <c r="U19" s="706">
        <f>H19</f>
        <v>100</v>
      </c>
      <c r="V19" s="705" t="s">
        <v>14</v>
      </c>
      <c r="W19" s="706">
        <f>J19</f>
        <v>100</v>
      </c>
      <c r="X19" s="3455"/>
      <c r="Y19" s="3698"/>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6"/>
      <c r="Q20" s="3457"/>
      <c r="R20" s="705"/>
      <c r="S20" s="706"/>
      <c r="T20" s="705"/>
      <c r="U20" s="706"/>
      <c r="V20" s="705"/>
      <c r="W20" s="706"/>
      <c r="X20" s="3455"/>
      <c r="Y20" s="3698"/>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6"/>
      <c r="Q21" s="3457" t="str">
        <f>B21</f>
        <v>基础设施水平</v>
      </c>
      <c r="R21" s="705" t="s">
        <v>14</v>
      </c>
      <c r="S21" s="706">
        <f>F21</f>
        <v>100</v>
      </c>
      <c r="T21" s="705" t="s">
        <v>14</v>
      </c>
      <c r="U21" s="706">
        <f>H21</f>
        <v>100</v>
      </c>
      <c r="V21" s="705" t="s">
        <v>14</v>
      </c>
      <c r="W21" s="706">
        <f>J21</f>
        <v>100</v>
      </c>
      <c r="X21" s="3455"/>
      <c r="Y21" s="3698"/>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6"/>
      <c r="Q22" s="3457"/>
      <c r="R22" s="705"/>
      <c r="S22" s="706"/>
      <c r="T22" s="705"/>
      <c r="U22" s="706"/>
      <c r="V22" s="705"/>
      <c r="W22" s="706"/>
      <c r="X22" s="3455"/>
      <c r="Y22" s="3698"/>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6"/>
      <c r="Q23" s="3457" t="str">
        <f>B23</f>
        <v>自然及人文环境</v>
      </c>
      <c r="R23" s="705" t="s">
        <v>14</v>
      </c>
      <c r="S23" s="706">
        <f>F23</f>
        <v>100</v>
      </c>
      <c r="T23" s="705" t="s">
        <v>14</v>
      </c>
      <c r="U23" s="706">
        <f>H23</f>
        <v>100</v>
      </c>
      <c r="V23" s="705" t="s">
        <v>14</v>
      </c>
      <c r="W23" s="706">
        <f>J23</f>
        <v>100</v>
      </c>
      <c r="X23" s="3455"/>
      <c r="Y23" s="3698"/>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6"/>
      <c r="Q24" s="3457"/>
      <c r="R24" s="705"/>
      <c r="S24" s="706"/>
      <c r="T24" s="705"/>
      <c r="U24" s="706"/>
      <c r="V24" s="705"/>
      <c r="W24" s="706"/>
      <c r="X24" s="3455"/>
      <c r="Y24" s="3698"/>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6"/>
      <c r="Q25" s="3457" t="str">
        <f t="shared" ref="Q25:Q46" si="11">B25</f>
        <v>临街状况</v>
      </c>
      <c r="R25" s="705" t="s">
        <v>14</v>
      </c>
      <c r="S25" s="706">
        <f>F25</f>
        <v>100</v>
      </c>
      <c r="T25" s="705" t="s">
        <v>14</v>
      </c>
      <c r="U25" s="706">
        <f>H25</f>
        <v>100</v>
      </c>
      <c r="V25" s="705" t="s">
        <v>14</v>
      </c>
      <c r="W25" s="706">
        <f>J25</f>
        <v>100</v>
      </c>
      <c r="X25" s="3455"/>
      <c r="Y25" s="3698"/>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3457" t="str">
        <f t="shared" si="11"/>
        <v>平面位置/可视性</v>
      </c>
      <c r="R26" s="705" t="s">
        <v>14</v>
      </c>
      <c r="S26" s="706">
        <f>F26</f>
        <v>100</v>
      </c>
      <c r="T26" s="705" t="s">
        <v>14</v>
      </c>
      <c r="U26" s="706">
        <f>H26</f>
        <v>100</v>
      </c>
      <c r="V26" s="705" t="s">
        <v>14</v>
      </c>
      <c r="W26" s="706">
        <f>J26</f>
        <v>100</v>
      </c>
      <c r="X26" s="3455"/>
      <c r="Y26" s="3698"/>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696"/>
      <c r="Q27" s="3454" t="str">
        <f t="shared" si="11"/>
        <v>人流量</v>
      </c>
      <c r="R27" s="701" t="s">
        <v>14</v>
      </c>
      <c r="S27" s="702">
        <f>F27</f>
        <v>100</v>
      </c>
      <c r="T27" s="701" t="s">
        <v>14</v>
      </c>
      <c r="U27" s="702">
        <f>H27</f>
        <v>97</v>
      </c>
      <c r="V27" s="701" t="s">
        <v>14</v>
      </c>
      <c r="W27" s="702">
        <f>J27</f>
        <v>100</v>
      </c>
      <c r="X27" s="703"/>
      <c r="Y27" s="3698"/>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6"/>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698"/>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3457">
        <f t="shared" si="11"/>
        <v>111</v>
      </c>
      <c r="R29" s="705" t="s">
        <v>14</v>
      </c>
      <c r="S29" s="706">
        <f t="shared" si="12"/>
        <v>100</v>
      </c>
      <c r="T29" s="705" t="s">
        <v>14</v>
      </c>
      <c r="U29" s="706">
        <f t="shared" si="13"/>
        <v>100</v>
      </c>
      <c r="V29" s="705" t="s">
        <v>14</v>
      </c>
      <c r="W29" s="706">
        <f t="shared" si="14"/>
        <v>100</v>
      </c>
      <c r="X29" s="3455"/>
      <c r="Y29" s="3698"/>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3457">
        <f t="shared" si="11"/>
        <v>111</v>
      </c>
      <c r="R30" s="705" t="s">
        <v>14</v>
      </c>
      <c r="S30" s="706">
        <f t="shared" si="12"/>
        <v>100</v>
      </c>
      <c r="T30" s="705" t="s">
        <v>14</v>
      </c>
      <c r="U30" s="706">
        <f t="shared" si="13"/>
        <v>100</v>
      </c>
      <c r="V30" s="705" t="s">
        <v>14</v>
      </c>
      <c r="W30" s="706">
        <f t="shared" si="14"/>
        <v>100</v>
      </c>
      <c r="X30" s="3455"/>
      <c r="Y30" s="3698"/>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3457">
        <f t="shared" si="11"/>
        <v>111</v>
      </c>
      <c r="R31" s="705" t="s">
        <v>14</v>
      </c>
      <c r="S31" s="706">
        <f t="shared" si="12"/>
        <v>100</v>
      </c>
      <c r="T31" s="705" t="s">
        <v>14</v>
      </c>
      <c r="U31" s="706">
        <f t="shared" si="13"/>
        <v>100</v>
      </c>
      <c r="V31" s="705" t="s">
        <v>14</v>
      </c>
      <c r="W31" s="706">
        <f t="shared" si="14"/>
        <v>100</v>
      </c>
      <c r="X31" s="3455"/>
      <c r="Y31" s="3698"/>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699" t="s">
        <v>1695</v>
      </c>
      <c r="Q32" s="3457" t="str">
        <f t="shared" si="11"/>
        <v>商业类型</v>
      </c>
      <c r="R32" s="705" t="s">
        <v>14</v>
      </c>
      <c r="S32" s="706">
        <f t="shared" si="12"/>
        <v>100</v>
      </c>
      <c r="T32" s="705" t="s">
        <v>14</v>
      </c>
      <c r="U32" s="706">
        <f t="shared" si="13"/>
        <v>100</v>
      </c>
      <c r="V32" s="705" t="s">
        <v>14</v>
      </c>
      <c r="W32" s="706">
        <f t="shared" si="14"/>
        <v>103</v>
      </c>
      <c r="X32" s="3455"/>
      <c r="Y32" s="3702"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00"/>
      <c r="Q33" s="707" t="str">
        <f t="shared" si="11"/>
        <v>项目建筑规模</v>
      </c>
      <c r="R33" s="708" t="s">
        <v>14</v>
      </c>
      <c r="S33" s="709">
        <f t="shared" si="12"/>
        <v>108</v>
      </c>
      <c r="T33" s="708" t="s">
        <v>14</v>
      </c>
      <c r="U33" s="709">
        <f t="shared" si="13"/>
        <v>108</v>
      </c>
      <c r="V33" s="708" t="s">
        <v>14</v>
      </c>
      <c r="W33" s="709">
        <f t="shared" si="14"/>
        <v>104</v>
      </c>
      <c r="X33" s="710"/>
      <c r="Y33" s="3702"/>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0"/>
      <c r="Q34" s="3457" t="str">
        <f t="shared" si="11"/>
        <v>建筑结构</v>
      </c>
      <c r="R34" s="705" t="s">
        <v>14</v>
      </c>
      <c r="S34" s="706">
        <f t="shared" si="12"/>
        <v>100</v>
      </c>
      <c r="T34" s="705" t="s">
        <v>14</v>
      </c>
      <c r="U34" s="706">
        <f t="shared" si="13"/>
        <v>100</v>
      </c>
      <c r="V34" s="705" t="s">
        <v>14</v>
      </c>
      <c r="W34" s="706">
        <f t="shared" si="14"/>
        <v>100</v>
      </c>
      <c r="X34" s="3455"/>
      <c r="Y34" s="3702"/>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0"/>
      <c r="Q35" s="3457" t="str">
        <f t="shared" si="11"/>
        <v>公共部分装修</v>
      </c>
      <c r="R35" s="705" t="s">
        <v>14</v>
      </c>
      <c r="S35" s="706">
        <f t="shared" si="12"/>
        <v>100</v>
      </c>
      <c r="T35" s="705" t="s">
        <v>14</v>
      </c>
      <c r="U35" s="706">
        <f t="shared" si="13"/>
        <v>100</v>
      </c>
      <c r="V35" s="705" t="s">
        <v>14</v>
      </c>
      <c r="W35" s="706">
        <f t="shared" si="14"/>
        <v>100</v>
      </c>
      <c r="X35" s="3455"/>
      <c r="Y35" s="3702"/>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0"/>
      <c r="Q36" s="3457" t="str">
        <f t="shared" si="11"/>
        <v>成新度</v>
      </c>
      <c r="R36" s="705" t="s">
        <v>14</v>
      </c>
      <c r="S36" s="706">
        <f t="shared" si="12"/>
        <v>100</v>
      </c>
      <c r="T36" s="705" t="s">
        <v>14</v>
      </c>
      <c r="U36" s="706">
        <f t="shared" si="13"/>
        <v>100</v>
      </c>
      <c r="V36" s="705" t="s">
        <v>14</v>
      </c>
      <c r="W36" s="706">
        <f t="shared" si="14"/>
        <v>100</v>
      </c>
      <c r="X36" s="3455"/>
      <c r="Y36" s="3702"/>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3454" t="str">
        <f t="shared" si="11"/>
        <v>市政基础设施</v>
      </c>
      <c r="R37" s="701" t="s">
        <v>14</v>
      </c>
      <c r="S37" s="702">
        <f t="shared" si="12"/>
        <v>100</v>
      </c>
      <c r="T37" s="701" t="s">
        <v>14</v>
      </c>
      <c r="U37" s="702">
        <f t="shared" si="13"/>
        <v>100</v>
      </c>
      <c r="V37" s="701" t="s">
        <v>14</v>
      </c>
      <c r="W37" s="702">
        <f t="shared" si="14"/>
        <v>100</v>
      </c>
      <c r="X37" s="703"/>
      <c r="Y37" s="3702"/>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0" t="s">
        <v>1695</v>
      </c>
      <c r="Q38" s="3457" t="str">
        <f t="shared" si="11"/>
        <v>业态</v>
      </c>
      <c r="R38" s="705" t="s">
        <v>14</v>
      </c>
      <c r="S38" s="706">
        <f t="shared" si="12"/>
        <v>100</v>
      </c>
      <c r="T38" s="705" t="s">
        <v>14</v>
      </c>
      <c r="U38" s="706">
        <f t="shared" si="13"/>
        <v>100</v>
      </c>
      <c r="V38" s="705" t="s">
        <v>14</v>
      </c>
      <c r="W38" s="706">
        <f t="shared" si="14"/>
        <v>100</v>
      </c>
      <c r="X38" s="3455"/>
      <c r="Y38" s="3702"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00"/>
      <c r="Q39" s="3457" t="str">
        <f t="shared" si="11"/>
        <v>层高</v>
      </c>
      <c r="R39" s="705" t="s">
        <v>14</v>
      </c>
      <c r="S39" s="706">
        <f t="shared" si="12"/>
        <v>100</v>
      </c>
      <c r="T39" s="705" t="s">
        <v>14</v>
      </c>
      <c r="U39" s="706">
        <f t="shared" si="13"/>
        <v>100</v>
      </c>
      <c r="V39" s="705" t="s">
        <v>14</v>
      </c>
      <c r="W39" s="706">
        <f t="shared" si="14"/>
        <v>100</v>
      </c>
      <c r="X39" s="3455"/>
      <c r="Y39" s="3702"/>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3457" t="str">
        <f t="shared" si="11"/>
        <v>单套建筑面积</v>
      </c>
      <c r="R40" s="705" t="s">
        <v>14</v>
      </c>
      <c r="S40" s="706">
        <f t="shared" si="12"/>
        <v>100</v>
      </c>
      <c r="T40" s="705" t="s">
        <v>14</v>
      </c>
      <c r="U40" s="706">
        <f t="shared" si="13"/>
        <v>100</v>
      </c>
      <c r="V40" s="705" t="s">
        <v>14</v>
      </c>
      <c r="W40" s="706">
        <f t="shared" si="14"/>
        <v>100</v>
      </c>
      <c r="X40" s="3455"/>
      <c r="Y40" s="3702"/>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00"/>
      <c r="Q42" s="3457" t="str">
        <f t="shared" si="11"/>
        <v>内部装修</v>
      </c>
      <c r="R42" s="705" t="s">
        <v>14</v>
      </c>
      <c r="S42" s="706">
        <f t="shared" si="12"/>
        <v>100</v>
      </c>
      <c r="T42" s="705" t="s">
        <v>14</v>
      </c>
      <c r="U42" s="706">
        <f t="shared" si="13"/>
        <v>100</v>
      </c>
      <c r="V42" s="705" t="s">
        <v>14</v>
      </c>
      <c r="W42" s="706">
        <f t="shared" si="14"/>
        <v>100</v>
      </c>
      <c r="X42" s="3455"/>
      <c r="Y42" s="3702"/>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0"/>
      <c r="Q43" s="3457" t="str">
        <f t="shared" si="11"/>
        <v>内部装修维护情况</v>
      </c>
      <c r="R43" s="705" t="s">
        <v>14</v>
      </c>
      <c r="S43" s="706">
        <f t="shared" si="12"/>
        <v>100</v>
      </c>
      <c r="T43" s="705" t="s">
        <v>14</v>
      </c>
      <c r="U43" s="706">
        <f t="shared" si="13"/>
        <v>100</v>
      </c>
      <c r="V43" s="705" t="s">
        <v>14</v>
      </c>
      <c r="W43" s="706">
        <f t="shared" si="14"/>
        <v>100</v>
      </c>
      <c r="X43" s="3455"/>
      <c r="Y43" s="3702"/>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3454">
        <f t="shared" si="11"/>
        <v>111</v>
      </c>
      <c r="R44" s="701" t="s">
        <v>14</v>
      </c>
      <c r="S44" s="702">
        <f t="shared" si="12"/>
        <v>100</v>
      </c>
      <c r="T44" s="701" t="s">
        <v>14</v>
      </c>
      <c r="U44" s="702">
        <f t="shared" si="13"/>
        <v>100</v>
      </c>
      <c r="V44" s="701" t="s">
        <v>14</v>
      </c>
      <c r="W44" s="702">
        <f t="shared" si="14"/>
        <v>100</v>
      </c>
      <c r="X44" s="703"/>
      <c r="Y44" s="3702"/>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3457">
        <f t="shared" si="11"/>
        <v>111</v>
      </c>
      <c r="R45" s="705" t="s">
        <v>14</v>
      </c>
      <c r="S45" s="706">
        <f t="shared" si="12"/>
        <v>100</v>
      </c>
      <c r="T45" s="705" t="s">
        <v>14</v>
      </c>
      <c r="U45" s="706">
        <f t="shared" si="13"/>
        <v>100</v>
      </c>
      <c r="V45" s="705" t="s">
        <v>14</v>
      </c>
      <c r="W45" s="706">
        <f t="shared" si="14"/>
        <v>100</v>
      </c>
      <c r="X45" s="3455"/>
      <c r="Y45" s="3702"/>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3457">
        <f t="shared" si="11"/>
        <v>111</v>
      </c>
      <c r="R46" s="705" t="s">
        <v>14</v>
      </c>
      <c r="S46" s="706">
        <f t="shared" si="12"/>
        <v>100</v>
      </c>
      <c r="T46" s="705" t="s">
        <v>14</v>
      </c>
      <c r="U46" s="706">
        <f t="shared" si="13"/>
        <v>100</v>
      </c>
      <c r="V46" s="705" t="s">
        <v>14</v>
      </c>
      <c r="W46" s="706">
        <f t="shared" si="14"/>
        <v>100</v>
      </c>
      <c r="X46" s="3455"/>
      <c r="Y46" s="3703"/>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690" t="str">
        <f>A47</f>
        <v>成交单价（元/平方米）</v>
      </c>
      <c r="Q47" s="3690"/>
      <c r="R47" s="3704">
        <f>E47</f>
        <v>4.375</v>
      </c>
      <c r="S47" s="3704"/>
      <c r="T47" s="3704">
        <f>G47</f>
        <v>4.17</v>
      </c>
      <c r="U47" s="3704"/>
      <c r="V47" s="3704">
        <f>I47</f>
        <v>4.17</v>
      </c>
      <c r="W47" s="3704"/>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690" t="str">
        <f>A48</f>
        <v>比较价值（元/平方米）</v>
      </c>
      <c r="Q48" s="3690"/>
      <c r="R48" s="3691">
        <f>IF(F1="售价",ROUND(PRODUCT(R47,AA7:AA46),0),ROUND(PRODUCT(R47,AA7:AA46),1))</f>
        <v>4</v>
      </c>
      <c r="S48" s="3691"/>
      <c r="T48" s="3691">
        <f>IF(F1="售价",ROUND(PRODUCT(T47,AB7:AB46),0),ROUND(PRODUCT(T47,AB7:AB46),1))</f>
        <v>4</v>
      </c>
      <c r="U48" s="3691"/>
      <c r="V48" s="3691">
        <f>IF(F1="售价",ROUND(PRODUCT(V47,AC7:AC46),0),ROUND(PRODUCT(V47,AC7:AC46),1))</f>
        <v>3.8</v>
      </c>
      <c r="W48" s="3691"/>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692" t="str">
        <f>A49</f>
        <v>估价对象XX用房的比较价值（楼面单价，元/平方米）</v>
      </c>
      <c r="Q49" s="3693"/>
      <c r="R49" s="3694">
        <f>IF(F1="售价",ROUND(IF(D48="简单平均",AVERAGE(R48:V48),R48*F48+T48*H48+V48*J48),0),ROUND(IF(D48="简单平均",AVERAGE(R48:V48),R48*F48+T48*H48+V48*J48),1))</f>
        <v>3.9</v>
      </c>
      <c r="S49" s="3694"/>
      <c r="T49" s="3694"/>
      <c r="U49" s="3694"/>
      <c r="V49" s="3694"/>
      <c r="W49" s="3694"/>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1702.85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10900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10027542</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9442713</v>
      </c>
      <c r="D6" s="217"/>
      <c r="E6" s="218"/>
      <c r="F6" s="218"/>
      <c r="G6" s="219"/>
    </row>
    <row r="7" spans="1:8" s="214" customFormat="1" ht="13.5" customHeight="1">
      <c r="A7" s="778" t="s">
        <v>1473</v>
      </c>
      <c r="B7" s="215" t="s">
        <v>1474</v>
      </c>
      <c r="C7" s="220">
        <f>ROUND(C6*F7,0)</f>
        <v>288003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200551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349410</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345950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3460</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1022809</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1022809</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12536812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8" t="s">
        <v>1590</v>
      </c>
    </row>
    <row r="43" spans="1:7" ht="13.5" customHeight="1">
      <c r="A43" s="780" t="s">
        <v>347</v>
      </c>
      <c r="B43" s="215" t="s">
        <v>1544</v>
      </c>
      <c r="C43" s="238">
        <f ca="1">ROUND(IF('数据-取费表'!B22&lt;=1,C39*F22*'数据-取费表'!B20/2,C39*(POWER((1+F22),'数据-取费表'!B20/2)-1)),0)</f>
        <v>1797</v>
      </c>
      <c r="D43" s="238"/>
      <c r="E43" s="238"/>
      <c r="F43" s="239"/>
      <c r="G43" s="3669"/>
    </row>
    <row r="44" spans="1:7" ht="13.5" customHeight="1">
      <c r="A44" s="780" t="s">
        <v>348</v>
      </c>
      <c r="B44" s="215" t="s">
        <v>1545</v>
      </c>
      <c r="C44" s="238">
        <f ca="1">ROUND(IF('数据-取费表'!B22&lt;=1,C40*F22*'数据-取费表'!B20/2,C40*(POWER((1+F22),'数据-取费表'!B20/2)-1)),4)</f>
        <v>2.9999999999999997E-4</v>
      </c>
      <c r="D44" s="238"/>
      <c r="E44" s="238"/>
      <c r="F44" s="239"/>
      <c r="G44" s="3670"/>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4491688</v>
      </c>
      <c r="D51" s="232"/>
      <c r="E51" s="232"/>
      <c r="F51" s="264"/>
      <c r="G51" s="234" t="s">
        <v>1559</v>
      </c>
    </row>
    <row r="52" spans="1:7" s="208" customFormat="1" ht="16.5" thickBot="1">
      <c r="A52" s="265" t="s">
        <v>1560</v>
      </c>
      <c r="B52" s="266"/>
      <c r="C52" s="267">
        <f ca="1">C31+C51</f>
        <v>17028500</v>
      </c>
      <c r="D52" s="266"/>
      <c r="E52" s="266"/>
      <c r="F52" s="266"/>
      <c r="G52" s="268"/>
    </row>
    <row r="55" spans="1:7" ht="15">
      <c r="B55" s="270" t="s">
        <v>1561</v>
      </c>
      <c r="C55" s="271"/>
    </row>
    <row r="56" spans="1:7">
      <c r="B56" s="273" t="s">
        <v>802</v>
      </c>
      <c r="C56" s="275">
        <f ca="1">1-C57</f>
        <v>0.73599999999999999</v>
      </c>
    </row>
    <row r="57" spans="1:7">
      <c r="B57" s="273" t="s">
        <v>803</v>
      </c>
      <c r="C57" s="274">
        <f ca="1">ROUND(C51/C52,3)</f>
        <v>0.26400000000000001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9" t="s">
        <v>694</v>
      </c>
      <c r="C6" s="1074">
        <f ca="1">ROUND(F6*F8*F7*(1-F9)/10000,0)</f>
        <v>0</v>
      </c>
      <c r="D6" s="155" t="s">
        <v>2107</v>
      </c>
      <c r="E6" s="302" t="s">
        <v>696</v>
      </c>
      <c r="F6" s="303">
        <f ca="1">INDIRECT("'数据-取费表'!u"&amp;$G$1)</f>
        <v>0</v>
      </c>
      <c r="G6" s="1384"/>
      <c r="H6" s="1069" t="s">
        <v>398</v>
      </c>
      <c r="I6" s="3739" t="s">
        <v>694</v>
      </c>
      <c r="J6" s="301">
        <f ca="1">ROUND(M6*M8*M7*(1-M9)/10000,0)</f>
        <v>0</v>
      </c>
      <c r="K6" s="155" t="s">
        <v>2106</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4"/>
      <c r="H7" s="304"/>
      <c r="I7" s="3740"/>
      <c r="J7" s="306"/>
      <c r="K7" s="307"/>
      <c r="L7" s="302" t="s">
        <v>697</v>
      </c>
      <c r="M7" s="303">
        <f ca="1">F7</f>
        <v>0</v>
      </c>
    </row>
    <row r="8" spans="1:37" ht="18" customHeight="1">
      <c r="A8" s="304"/>
      <c r="B8" s="3740"/>
      <c r="C8" s="306"/>
      <c r="D8" s="307"/>
      <c r="E8" s="302" t="s">
        <v>698</v>
      </c>
      <c r="F8" s="303">
        <f ca="1">INDIRECT("'数据-取费表'!ai"&amp;$G$1)</f>
        <v>0</v>
      </c>
      <c r="G8" s="1384"/>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7" t="s">
        <v>837</v>
      </c>
      <c r="L53" s="37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48" t="s">
        <v>2318</v>
      </c>
      <c r="K2" s="374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50" t="s">
        <v>2328</v>
      </c>
      <c r="K3" s="375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50" t="s">
        <v>2330</v>
      </c>
      <c r="K4" s="375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56" t="s">
        <v>2334</v>
      </c>
      <c r="B6" s="3757"/>
      <c r="C6" s="3758"/>
      <c r="D6" s="2868"/>
      <c r="E6" s="2869"/>
      <c r="F6" s="2870"/>
      <c r="G6" s="2871"/>
      <c r="H6" s="2846"/>
      <c r="I6" s="2847"/>
      <c r="J6" s="3742">
        <v>1</v>
      </c>
      <c r="K6" s="374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2"/>
      <c r="K7" s="374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59" t="s">
        <v>2348</v>
      </c>
      <c r="C8" s="3760"/>
      <c r="D8" s="2887" t="s">
        <v>2349</v>
      </c>
      <c r="E8" s="2888" t="s">
        <v>2350</v>
      </c>
      <c r="F8" s="2889" t="s">
        <v>2351</v>
      </c>
      <c r="G8" s="2890"/>
      <c r="H8" s="2846"/>
      <c r="I8" s="2847"/>
      <c r="J8" s="3742"/>
      <c r="K8" s="374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59" t="s">
        <v>2354</v>
      </c>
      <c r="C9" s="3760"/>
      <c r="D9" s="2887">
        <f>ROUND(D6*E9,0)</f>
        <v>0</v>
      </c>
      <c r="E9" s="2891"/>
      <c r="F9" s="2892" t="s">
        <v>2355</v>
      </c>
      <c r="G9" s="2871"/>
      <c r="H9" s="2846"/>
      <c r="I9" s="2847"/>
      <c r="J9" s="3742"/>
      <c r="K9" s="3744"/>
      <c r="L9" s="2881" t="s">
        <v>2356</v>
      </c>
      <c r="M9" s="2882"/>
      <c r="N9" s="2858"/>
      <c r="O9" s="2883"/>
      <c r="P9" s="2883"/>
      <c r="Q9" s="2884">
        <v>365</v>
      </c>
      <c r="R9" s="2885">
        <f t="shared" si="0"/>
        <v>0</v>
      </c>
      <c r="S9" s="2839"/>
      <c r="T9" s="2839"/>
      <c r="U9" s="2839"/>
      <c r="V9" s="2847"/>
    </row>
    <row r="10" spans="1:22" s="2851" customFormat="1" ht="13.15" customHeight="1">
      <c r="A10" s="2886">
        <v>2</v>
      </c>
      <c r="B10" s="3759" t="s">
        <v>2357</v>
      </c>
      <c r="C10" s="3760"/>
      <c r="D10" s="2887">
        <f>ROUND(D6*E10,0)</f>
        <v>0</v>
      </c>
      <c r="E10" s="2891"/>
      <c r="F10" s="2892" t="s">
        <v>2358</v>
      </c>
      <c r="G10" s="2871"/>
      <c r="H10" s="2846"/>
      <c r="I10" s="2847"/>
      <c r="J10" s="3742"/>
      <c r="K10" s="3744"/>
      <c r="L10" s="2881" t="s">
        <v>2359</v>
      </c>
      <c r="M10" s="2882"/>
      <c r="N10" s="2858"/>
      <c r="O10" s="2883"/>
      <c r="P10" s="2883"/>
      <c r="Q10" s="2884">
        <v>365</v>
      </c>
      <c r="R10" s="2885">
        <f t="shared" si="0"/>
        <v>0</v>
      </c>
      <c r="S10" s="2839"/>
      <c r="T10" s="2839"/>
      <c r="U10" s="2839"/>
      <c r="V10" s="2847"/>
    </row>
    <row r="11" spans="1:22" s="2851" customFormat="1" ht="13.15" customHeight="1">
      <c r="A11" s="2886">
        <v>3</v>
      </c>
      <c r="B11" s="3759" t="s">
        <v>2360</v>
      </c>
      <c r="C11" s="3760"/>
      <c r="D11" s="2887">
        <f>D12+D14+D15+D16</f>
        <v>0</v>
      </c>
      <c r="E11" s="2893" t="e">
        <f>D11/D6</f>
        <v>#DIV/0!</v>
      </c>
      <c r="F11" s="2889"/>
      <c r="G11" s="2890"/>
      <c r="H11" s="2846"/>
      <c r="I11" s="2847"/>
      <c r="J11" s="3742"/>
      <c r="K11" s="374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2" t="s">
        <v>2363</v>
      </c>
      <c r="C12" s="3753"/>
      <c r="D12" s="2895">
        <f>ROUND(D13*1.2%*(1-30%),0)</f>
        <v>0</v>
      </c>
      <c r="E12" s="2896">
        <v>1.2E-2</v>
      </c>
      <c r="F12" s="2889" t="s">
        <v>2364</v>
      </c>
      <c r="G12" s="2890"/>
      <c r="H12" s="2846"/>
      <c r="I12" s="2847"/>
      <c r="J12" s="3742"/>
      <c r="K12" s="374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2"/>
      <c r="K13" s="374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2" t="s">
        <v>2369</v>
      </c>
      <c r="C14" s="3753"/>
      <c r="D14" s="2895">
        <f>ROUND(E14*B5/10000,0)</f>
        <v>0</v>
      </c>
      <c r="E14" s="2884"/>
      <c r="F14" s="2889" t="s">
        <v>2370</v>
      </c>
      <c r="G14" s="2890"/>
      <c r="H14" s="2846"/>
      <c r="I14" s="2847"/>
      <c r="J14" s="3742"/>
      <c r="K14" s="374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2" t="s">
        <v>2373</v>
      </c>
      <c r="C15" s="3753"/>
      <c r="D15" s="2895">
        <f>ROUND(D6*E15,0)</f>
        <v>0</v>
      </c>
      <c r="E15" s="2896">
        <v>5.5E-2</v>
      </c>
      <c r="F15" s="2889" t="s">
        <v>2374</v>
      </c>
      <c r="G15" s="2871"/>
      <c r="H15" s="2846"/>
      <c r="I15" s="2847"/>
      <c r="J15" s="3742">
        <v>2</v>
      </c>
      <c r="K15" s="374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2" t="s">
        <v>2382</v>
      </c>
      <c r="C16" s="3753"/>
      <c r="D16" s="2906">
        <f>D6*E16</f>
        <v>0</v>
      </c>
      <c r="E16" s="2907"/>
      <c r="F16" s="2892" t="s">
        <v>2383</v>
      </c>
      <c r="G16" s="2871"/>
      <c r="H16" s="2846"/>
      <c r="I16" s="2847"/>
      <c r="J16" s="3742"/>
      <c r="K16" s="374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4" t="s">
        <v>2385</v>
      </c>
      <c r="C17" s="3755"/>
      <c r="D17" s="2909">
        <f>ROUND(D6*E17,0)</f>
        <v>0</v>
      </c>
      <c r="E17" s="2910"/>
      <c r="F17" s="2911" t="s">
        <v>2386</v>
      </c>
      <c r="G17" s="2871"/>
      <c r="H17" s="2846"/>
      <c r="I17" s="2847"/>
      <c r="J17" s="3742"/>
      <c r="K17" s="374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2"/>
      <c r="K18" s="374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2"/>
      <c r="K19" s="374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2"/>
      <c r="K21" s="374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2"/>
      <c r="K22" s="374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2"/>
      <c r="K23" s="374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2"/>
      <c r="K24" s="374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4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48" t="s">
        <v>2318</v>
      </c>
      <c r="K32" s="374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50" t="s">
        <v>2328</v>
      </c>
      <c r="K33" s="375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50" t="s">
        <v>2330</v>
      </c>
      <c r="K34" s="37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2">
        <v>1</v>
      </c>
      <c r="K36" s="374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2"/>
      <c r="K40" s="374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1224.2497000000001</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7837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1" t="s">
        <v>1653</v>
      </c>
      <c r="C5" s="3762"/>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1224.2497000000001</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09" t="s">
        <v>1666</v>
      </c>
      <c r="D4" s="3710"/>
      <c r="E4" s="3711" t="s">
        <v>1667</v>
      </c>
      <c r="F4" s="3712"/>
      <c r="G4" s="3709" t="s">
        <v>1668</v>
      </c>
      <c r="H4" s="3710"/>
      <c r="I4" s="3709" t="s">
        <v>1669</v>
      </c>
      <c r="J4" s="3710"/>
      <c r="K4" s="1889" t="s">
        <v>1670</v>
      </c>
      <c r="L4" s="2713"/>
      <c r="M4" s="2714"/>
      <c r="N4" s="2714"/>
      <c r="O4" s="2714"/>
      <c r="P4" s="3713" t="s">
        <v>1671</v>
      </c>
      <c r="Q4" s="3714"/>
      <c r="R4" s="3719" t="s">
        <v>1667</v>
      </c>
      <c r="S4" s="3720"/>
      <c r="T4" s="3719" t="s">
        <v>1668</v>
      </c>
      <c r="U4" s="3720"/>
      <c r="V4" s="3704" t="s">
        <v>1669</v>
      </c>
      <c r="W4" s="3704"/>
      <c r="X4" s="1355"/>
      <c r="Y4" s="3719" t="s">
        <v>1671</v>
      </c>
      <c r="Z4" s="3720"/>
      <c r="AA4" s="3706" t="s">
        <v>1667</v>
      </c>
      <c r="AB4" s="3706" t="s">
        <v>1668</v>
      </c>
      <c r="AC4" s="3706" t="s">
        <v>1669</v>
      </c>
    </row>
    <row r="5" spans="1:29" ht="15">
      <c r="A5" s="358"/>
      <c r="B5" s="359"/>
      <c r="C5" s="3732" t="s">
        <v>1672</v>
      </c>
      <c r="D5" s="3728"/>
      <c r="E5" s="3763" t="s">
        <v>1673</v>
      </c>
      <c r="F5" s="3736"/>
      <c r="G5" s="3732" t="s">
        <v>1674</v>
      </c>
      <c r="H5" s="3728"/>
      <c r="I5" s="3732" t="s">
        <v>1675</v>
      </c>
      <c r="J5" s="3728"/>
      <c r="K5" s="1890"/>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1890"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29" t="s">
        <v>1679</v>
      </c>
      <c r="Q7" s="3731"/>
      <c r="R7" s="701" t="s">
        <v>20</v>
      </c>
      <c r="S7" s="702">
        <f t="shared" ref="S7:S15" si="0">F7</f>
        <v>0</v>
      </c>
      <c r="T7" s="701" t="s">
        <v>20</v>
      </c>
      <c r="U7" s="702">
        <f t="shared" ref="U7:U15" si="1">H7</f>
        <v>0</v>
      </c>
      <c r="V7" s="701" t="s">
        <v>20</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29" t="s">
        <v>1682</v>
      </c>
      <c r="Q8" s="3730"/>
      <c r="R8" s="701" t="s">
        <v>20</v>
      </c>
      <c r="S8" s="702">
        <f t="shared" si="0"/>
        <v>100</v>
      </c>
      <c r="T8" s="701" t="s">
        <v>20</v>
      </c>
      <c r="U8" s="702">
        <f t="shared" si="1"/>
        <v>100</v>
      </c>
      <c r="V8" s="701" t="s">
        <v>20</v>
      </c>
      <c r="W8" s="702">
        <f t="shared" si="2"/>
        <v>100</v>
      </c>
      <c r="X8" s="703"/>
      <c r="Y8" s="3729" t="s">
        <v>1682</v>
      </c>
      <c r="Z8" s="373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5"/>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5"/>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5"/>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5"/>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5" t="s">
        <v>1690</v>
      </c>
      <c r="Q15" s="1352" t="str">
        <f t="shared" si="6"/>
        <v>居住社区成熟度</v>
      </c>
      <c r="R15" s="705" t="s">
        <v>18</v>
      </c>
      <c r="S15" s="706">
        <f t="shared" si="0"/>
        <v>100</v>
      </c>
      <c r="T15" s="705" t="s">
        <v>18</v>
      </c>
      <c r="U15" s="706">
        <f t="shared" si="1"/>
        <v>100</v>
      </c>
      <c r="V15" s="705" t="s">
        <v>18</v>
      </c>
      <c r="W15" s="706">
        <f t="shared" si="2"/>
        <v>100</v>
      </c>
      <c r="X15" s="1355"/>
      <c r="Y15" s="369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6"/>
      <c r="Q16" s="1352"/>
      <c r="R16" s="705"/>
      <c r="S16" s="706"/>
      <c r="T16" s="705"/>
      <c r="U16" s="706"/>
      <c r="V16" s="705"/>
      <c r="W16" s="706"/>
      <c r="X16" s="1355"/>
      <c r="Y16" s="369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6"/>
      <c r="Q18" s="1352"/>
      <c r="R18" s="705"/>
      <c r="S18" s="706"/>
      <c r="T18" s="705"/>
      <c r="U18" s="706"/>
      <c r="V18" s="705"/>
      <c r="W18" s="706"/>
      <c r="X18" s="1355"/>
      <c r="Y18" s="369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6"/>
      <c r="Q20" s="1352"/>
      <c r="R20" s="705"/>
      <c r="S20" s="706"/>
      <c r="T20" s="705"/>
      <c r="U20" s="706"/>
      <c r="V20" s="705"/>
      <c r="W20" s="706"/>
      <c r="X20" s="1355"/>
      <c r="Y20" s="369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6"/>
      <c r="Q22" s="1352"/>
      <c r="R22" s="705"/>
      <c r="S22" s="706"/>
      <c r="T22" s="705"/>
      <c r="U22" s="706"/>
      <c r="V22" s="705"/>
      <c r="W22" s="706"/>
      <c r="X22" s="1355"/>
      <c r="Y22" s="369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6"/>
      <c r="Q24" s="1352"/>
      <c r="R24" s="705"/>
      <c r="S24" s="706"/>
      <c r="T24" s="705"/>
      <c r="U24" s="706"/>
      <c r="V24" s="705"/>
      <c r="W24" s="706"/>
      <c r="X24" s="1355"/>
      <c r="Y24" s="369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9" t="s">
        <v>1695</v>
      </c>
      <c r="Q32" s="1352" t="str">
        <f t="shared" si="11"/>
        <v>建筑类型</v>
      </c>
      <c r="R32" s="705" t="s">
        <v>18</v>
      </c>
      <c r="S32" s="706">
        <f t="shared" si="12"/>
        <v>100</v>
      </c>
      <c r="T32" s="705" t="s">
        <v>18</v>
      </c>
      <c r="U32" s="706">
        <f t="shared" si="13"/>
        <v>100</v>
      </c>
      <c r="V32" s="705" t="s">
        <v>18</v>
      </c>
      <c r="W32" s="706">
        <f t="shared" si="14"/>
        <v>100</v>
      </c>
      <c r="X32" s="1355"/>
      <c r="Y32" s="370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0" t="s">
        <v>1695</v>
      </c>
      <c r="Q38" s="1352" t="str">
        <f t="shared" si="11"/>
        <v>物业管理</v>
      </c>
      <c r="R38" s="705" t="s">
        <v>18</v>
      </c>
      <c r="S38" s="706">
        <f t="shared" si="12"/>
        <v>100</v>
      </c>
      <c r="T38" s="705" t="s">
        <v>18</v>
      </c>
      <c r="U38" s="706">
        <f t="shared" si="13"/>
        <v>100</v>
      </c>
      <c r="V38" s="705" t="s">
        <v>18</v>
      </c>
      <c r="W38" s="706">
        <f t="shared" si="14"/>
        <v>100</v>
      </c>
      <c r="X38" s="1355"/>
      <c r="Y38" s="370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70" t="s">
        <v>1774</v>
      </c>
      <c r="Q4" s="3771"/>
      <c r="R4" s="3774" t="s">
        <v>1770</v>
      </c>
      <c r="S4" s="3775"/>
      <c r="T4" s="3774" t="s">
        <v>1771</v>
      </c>
      <c r="U4" s="3775"/>
      <c r="V4" s="3776" t="s">
        <v>1772</v>
      </c>
      <c r="W4" s="3776"/>
      <c r="X4" s="1958"/>
      <c r="Y4" s="3774" t="s">
        <v>1774</v>
      </c>
      <c r="Z4" s="3775"/>
      <c r="AA4" s="3778" t="s">
        <v>1770</v>
      </c>
      <c r="AB4" s="3778" t="s">
        <v>1771</v>
      </c>
      <c r="AC4" s="3767" t="s">
        <v>1772</v>
      </c>
    </row>
    <row r="5" spans="1:29" ht="15">
      <c r="A5" s="358"/>
      <c r="B5" s="359"/>
      <c r="C5" s="3732" t="s">
        <v>1672</v>
      </c>
      <c r="D5" s="3728"/>
      <c r="E5" s="3763" t="s">
        <v>1673</v>
      </c>
      <c r="F5" s="3736"/>
      <c r="G5" s="3732" t="s">
        <v>1674</v>
      </c>
      <c r="H5" s="3728"/>
      <c r="I5" s="3732" t="s">
        <v>1675</v>
      </c>
      <c r="J5" s="3728"/>
      <c r="K5" s="559"/>
      <c r="L5" s="2713"/>
      <c r="M5" s="2714"/>
      <c r="N5" s="2714"/>
      <c r="O5" s="2714"/>
      <c r="P5" s="3772"/>
      <c r="Q5" s="3716"/>
      <c r="R5" s="3721"/>
      <c r="S5" s="3722"/>
      <c r="T5" s="3721"/>
      <c r="U5" s="3722"/>
      <c r="V5" s="3704"/>
      <c r="W5" s="3704"/>
      <c r="X5" s="1355"/>
      <c r="Y5" s="3721"/>
      <c r="Z5" s="3722"/>
      <c r="AA5" s="3707"/>
      <c r="AB5" s="3707"/>
      <c r="AC5" s="3768"/>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73"/>
      <c r="Q6" s="3718"/>
      <c r="R6" s="3721"/>
      <c r="S6" s="3722"/>
      <c r="T6" s="3723"/>
      <c r="U6" s="3724"/>
      <c r="V6" s="3704"/>
      <c r="W6" s="3704"/>
      <c r="X6" s="1355"/>
      <c r="Y6" s="3723"/>
      <c r="Z6" s="3724"/>
      <c r="AA6" s="3708"/>
      <c r="AB6" s="3708"/>
      <c r="AC6" s="3769"/>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7"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7" t="s">
        <v>1682</v>
      </c>
      <c r="Q8" s="3730"/>
      <c r="R8" s="701" t="s">
        <v>14</v>
      </c>
      <c r="S8" s="702">
        <f t="shared" si="0"/>
        <v>100</v>
      </c>
      <c r="T8" s="701" t="s">
        <v>14</v>
      </c>
      <c r="U8" s="702">
        <f t="shared" si="1"/>
        <v>100</v>
      </c>
      <c r="V8" s="701" t="s">
        <v>14</v>
      </c>
      <c r="W8" s="702">
        <f t="shared" si="2"/>
        <v>100</v>
      </c>
      <c r="X8" s="703"/>
      <c r="Y8" s="3729" t="s">
        <v>1682</v>
      </c>
      <c r="Z8" s="373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5" t="s">
        <v>1690</v>
      </c>
      <c r="Q15" s="1352" t="str">
        <f t="shared" si="6"/>
        <v>办公集聚程度</v>
      </c>
      <c r="R15" s="705" t="s">
        <v>14</v>
      </c>
      <c r="S15" s="706">
        <f t="shared" si="0"/>
        <v>100</v>
      </c>
      <c r="T15" s="705" t="s">
        <v>14</v>
      </c>
      <c r="U15" s="706">
        <f t="shared" si="1"/>
        <v>100</v>
      </c>
      <c r="V15" s="705" t="s">
        <v>14</v>
      </c>
      <c r="W15" s="706">
        <f t="shared" si="2"/>
        <v>100</v>
      </c>
      <c r="X15" s="1355"/>
      <c r="Y15" s="369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96"/>
      <c r="Q16" s="1352"/>
      <c r="R16" s="705"/>
      <c r="S16" s="706"/>
      <c r="T16" s="705"/>
      <c r="U16" s="706"/>
      <c r="V16" s="705"/>
      <c r="W16" s="706"/>
      <c r="X16" s="1355"/>
      <c r="Y16" s="369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96"/>
      <c r="Q18" s="1352"/>
      <c r="R18" s="705"/>
      <c r="S18" s="706"/>
      <c r="T18" s="705"/>
      <c r="U18" s="706"/>
      <c r="V18" s="705"/>
      <c r="W18" s="706"/>
      <c r="X18" s="1355"/>
      <c r="Y18" s="369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96"/>
      <c r="Q20" s="1352"/>
      <c r="R20" s="705"/>
      <c r="S20" s="706"/>
      <c r="T20" s="705"/>
      <c r="U20" s="706"/>
      <c r="V20" s="705"/>
      <c r="W20" s="706"/>
      <c r="X20" s="1355"/>
      <c r="Y20" s="369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96"/>
      <c r="Q22" s="1352"/>
      <c r="R22" s="705"/>
      <c r="S22" s="706"/>
      <c r="T22" s="705"/>
      <c r="U22" s="706"/>
      <c r="V22" s="705"/>
      <c r="W22" s="706"/>
      <c r="X22" s="1355"/>
      <c r="Y22" s="369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96"/>
      <c r="Q24" s="1352"/>
      <c r="R24" s="705"/>
      <c r="S24" s="706"/>
      <c r="T24" s="705"/>
      <c r="U24" s="706"/>
      <c r="V24" s="705"/>
      <c r="W24" s="706"/>
      <c r="X24" s="1355"/>
      <c r="Y24" s="369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96"/>
      <c r="Q26" s="1352"/>
      <c r="R26" s="705"/>
      <c r="S26" s="706"/>
      <c r="T26" s="705"/>
      <c r="U26" s="706"/>
      <c r="V26" s="705"/>
      <c r="W26" s="706"/>
      <c r="X26" s="1355"/>
      <c r="Y26" s="369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6"/>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9" t="s">
        <v>1695</v>
      </c>
      <c r="Q33" s="1352" t="str">
        <f t="shared" si="11"/>
        <v>建筑类型</v>
      </c>
      <c r="R33" s="705" t="s">
        <v>14</v>
      </c>
      <c r="S33" s="706">
        <f t="shared" si="12"/>
        <v>100</v>
      </c>
      <c r="T33" s="705" t="s">
        <v>14</v>
      </c>
      <c r="U33" s="706">
        <f t="shared" si="13"/>
        <v>100</v>
      </c>
      <c r="V33" s="705" t="s">
        <v>14</v>
      </c>
      <c r="W33" s="706">
        <f t="shared" si="14"/>
        <v>100</v>
      </c>
      <c r="X33" s="1355"/>
      <c r="Y33" s="370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1695</v>
      </c>
      <c r="Q39" s="1352" t="str">
        <f t="shared" si="11"/>
        <v>物业管理</v>
      </c>
      <c r="R39" s="705" t="s">
        <v>14</v>
      </c>
      <c r="S39" s="706">
        <f t="shared" si="12"/>
        <v>100</v>
      </c>
      <c r="T39" s="705" t="s">
        <v>14</v>
      </c>
      <c r="U39" s="706">
        <f t="shared" si="13"/>
        <v>100</v>
      </c>
      <c r="V39" s="705" t="s">
        <v>14</v>
      </c>
      <c r="W39" s="706">
        <f t="shared" si="14"/>
        <v>100</v>
      </c>
      <c r="X39" s="1355"/>
      <c r="Y39" s="370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5"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5"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913"/>
      <c r="M4" s="914"/>
      <c r="N4" s="914"/>
      <c r="O4" s="9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913"/>
      <c r="M5" s="914"/>
      <c r="N5" s="914"/>
      <c r="O5" s="9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913"/>
      <c r="M6" s="914"/>
      <c r="N6" s="914"/>
      <c r="O6" s="9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1682</v>
      </c>
      <c r="Q8" s="3730"/>
      <c r="R8" s="701" t="s">
        <v>14</v>
      </c>
      <c r="S8" s="702">
        <f t="shared" si="0"/>
        <v>100</v>
      </c>
      <c r="T8" s="701" t="s">
        <v>14</v>
      </c>
      <c r="U8" s="702">
        <f t="shared" si="1"/>
        <v>100</v>
      </c>
      <c r="V8" s="701" t="s">
        <v>14</v>
      </c>
      <c r="W8" s="702">
        <f t="shared" si="2"/>
        <v>100</v>
      </c>
      <c r="X8" s="703"/>
      <c r="Y8" s="3729" t="s">
        <v>1682</v>
      </c>
      <c r="Z8" s="373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1690</v>
      </c>
      <c r="Q15" s="1352" t="str">
        <f t="shared" si="6"/>
        <v>产业集聚程度</v>
      </c>
      <c r="R15" s="705" t="s">
        <v>14</v>
      </c>
      <c r="S15" s="706">
        <f t="shared" si="0"/>
        <v>100</v>
      </c>
      <c r="T15" s="705" t="s">
        <v>14</v>
      </c>
      <c r="U15" s="706">
        <f t="shared" si="1"/>
        <v>100</v>
      </c>
      <c r="V15" s="705" t="s">
        <v>14</v>
      </c>
      <c r="W15" s="706">
        <f t="shared" si="2"/>
        <v>100</v>
      </c>
      <c r="X15" s="1355"/>
      <c r="Y15" s="369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0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1695</v>
      </c>
      <c r="Q35" s="1352" t="str">
        <f t="shared" si="11"/>
        <v>市政基础设施</v>
      </c>
      <c r="R35" s="705" t="s">
        <v>14</v>
      </c>
      <c r="S35" s="706">
        <f t="shared" si="12"/>
        <v>100</v>
      </c>
      <c r="T35" s="705" t="s">
        <v>14</v>
      </c>
      <c r="U35" s="706">
        <f t="shared" si="13"/>
        <v>100</v>
      </c>
      <c r="V35" s="705" t="s">
        <v>14</v>
      </c>
      <c r="W35" s="706">
        <f t="shared" si="14"/>
        <v>100</v>
      </c>
      <c r="X35" s="1355"/>
      <c r="Y35" s="370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9" t="s">
        <v>1679</v>
      </c>
      <c r="Q7" s="3731"/>
      <c r="R7" s="701" t="s">
        <v>14</v>
      </c>
      <c r="S7" s="702">
        <f t="shared" ref="S7:S14" si="0">F7</f>
        <v>0</v>
      </c>
      <c r="T7" s="701" t="s">
        <v>14</v>
      </c>
      <c r="U7" s="702">
        <f t="shared" ref="U7:U14" si="1">H7</f>
        <v>0</v>
      </c>
      <c r="V7" s="701" t="s">
        <v>14</v>
      </c>
      <c r="W7" s="702">
        <f t="shared" ref="W7:W14"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9" t="s">
        <v>1682</v>
      </c>
      <c r="Q8" s="3730"/>
      <c r="R8" s="701" t="s">
        <v>14</v>
      </c>
      <c r="S8" s="702">
        <f t="shared" si="0"/>
        <v>100</v>
      </c>
      <c r="T8" s="701" t="s">
        <v>14</v>
      </c>
      <c r="U8" s="702">
        <f t="shared" si="1"/>
        <v>100</v>
      </c>
      <c r="V8" s="701" t="s">
        <v>14</v>
      </c>
      <c r="W8" s="702">
        <f t="shared" si="2"/>
        <v>100</v>
      </c>
      <c r="X8" s="703"/>
      <c r="Y8" s="3729" t="s">
        <v>1682</v>
      </c>
      <c r="Z8" s="373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0" t="s">
        <v>1685</v>
      </c>
      <c r="Q9" s="1343" t="str">
        <f t="shared" ref="Q9:Q14" si="6">B9</f>
        <v>用途</v>
      </c>
      <c r="R9" s="701" t="s">
        <v>14</v>
      </c>
      <c r="S9" s="702">
        <f t="shared" si="0"/>
        <v>100</v>
      </c>
      <c r="T9" s="701" t="s">
        <v>14</v>
      </c>
      <c r="U9" s="702">
        <f t="shared" si="1"/>
        <v>100</v>
      </c>
      <c r="V9" s="701" t="s">
        <v>14</v>
      </c>
      <c r="W9" s="702">
        <f t="shared" si="2"/>
        <v>100</v>
      </c>
      <c r="X9" s="703"/>
      <c r="Y9" s="3575"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1690</v>
      </c>
      <c r="Q14" s="1352" t="str">
        <f t="shared" si="6"/>
        <v>交通便捷度</v>
      </c>
      <c r="R14" s="705" t="s">
        <v>14</v>
      </c>
      <c r="S14" s="706">
        <f t="shared" si="0"/>
        <v>100</v>
      </c>
      <c r="T14" s="705" t="s">
        <v>14</v>
      </c>
      <c r="U14" s="706">
        <f t="shared" si="1"/>
        <v>100</v>
      </c>
      <c r="V14" s="705" t="s">
        <v>14</v>
      </c>
      <c r="W14" s="706">
        <f t="shared" si="2"/>
        <v>100</v>
      </c>
      <c r="X14" s="1355"/>
      <c r="Y14" s="369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8"/>
      <c r="Q15" s="1352"/>
      <c r="R15" s="705"/>
      <c r="S15" s="706"/>
      <c r="T15" s="705"/>
      <c r="U15" s="706"/>
      <c r="V15" s="705"/>
      <c r="W15" s="706"/>
      <c r="X15" s="1355"/>
      <c r="Y15" s="369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8"/>
      <c r="Q17" s="1352"/>
      <c r="R17" s="705"/>
      <c r="S17" s="706"/>
      <c r="T17" s="705"/>
      <c r="U17" s="706"/>
      <c r="V17" s="705"/>
      <c r="W17" s="706"/>
      <c r="X17" s="1355"/>
      <c r="Y17" s="369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8"/>
      <c r="Q19" s="1352"/>
      <c r="R19" s="705"/>
      <c r="S19" s="706"/>
      <c r="T19" s="705"/>
      <c r="U19" s="706"/>
      <c r="V19" s="705"/>
      <c r="W19" s="706"/>
      <c r="X19" s="1355"/>
      <c r="Y19" s="369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8"/>
      <c r="Q21" s="1352"/>
      <c r="R21" s="705"/>
      <c r="S21" s="706"/>
      <c r="T21" s="705"/>
      <c r="U21" s="706"/>
      <c r="V21" s="705"/>
      <c r="W21" s="706"/>
      <c r="X21" s="1355"/>
      <c r="Y21" s="369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1695</v>
      </c>
      <c r="Q32" s="1352" t="str">
        <f t="shared" si="11"/>
        <v>车位类型</v>
      </c>
      <c r="R32" s="705" t="s">
        <v>14</v>
      </c>
      <c r="S32" s="706">
        <f t="shared" si="12"/>
        <v>100</v>
      </c>
      <c r="T32" s="705" t="s">
        <v>14</v>
      </c>
      <c r="U32" s="706">
        <f t="shared" si="13"/>
        <v>100</v>
      </c>
      <c r="V32" s="705" t="s">
        <v>14</v>
      </c>
      <c r="W32" s="706">
        <f t="shared" si="14"/>
        <v>100</v>
      </c>
      <c r="X32" s="1355"/>
      <c r="Y32" s="370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2" t="str">
        <f>A39</f>
        <v>估价对象XX用房的比较价值（楼面单价，元/平方米）</v>
      </c>
      <c r="Q39" s="3693"/>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29" t="s">
        <v>1679</v>
      </c>
      <c r="Q7" s="3731"/>
      <c r="R7" s="701" t="s">
        <v>14</v>
      </c>
      <c r="S7" s="702">
        <f t="shared" ref="S7:S14" si="0">F7</f>
        <v>0</v>
      </c>
      <c r="T7" s="701" t="s">
        <v>14</v>
      </c>
      <c r="U7" s="702">
        <f t="shared" ref="U7:U14" si="1">H7</f>
        <v>0</v>
      </c>
      <c r="V7" s="701" t="s">
        <v>14</v>
      </c>
      <c r="W7" s="702">
        <f t="shared" ref="W7:W14"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9" t="s">
        <v>1682</v>
      </c>
      <c r="Q8" s="3730"/>
      <c r="R8" s="701" t="s">
        <v>14</v>
      </c>
      <c r="S8" s="702">
        <f t="shared" si="0"/>
        <v>100</v>
      </c>
      <c r="T8" s="701" t="s">
        <v>14</v>
      </c>
      <c r="U8" s="702">
        <f t="shared" si="1"/>
        <v>100</v>
      </c>
      <c r="V8" s="701" t="s">
        <v>14</v>
      </c>
      <c r="W8" s="702">
        <f t="shared" si="2"/>
        <v>100</v>
      </c>
      <c r="X8" s="703"/>
      <c r="Y8" s="3729" t="s">
        <v>1682</v>
      </c>
      <c r="Z8" s="373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0" t="s">
        <v>1685</v>
      </c>
      <c r="Q9" s="1343" t="str">
        <f t="shared" ref="Q9:Q14" si="6">B9</f>
        <v>用途</v>
      </c>
      <c r="R9" s="701" t="s">
        <v>14</v>
      </c>
      <c r="S9" s="702">
        <f t="shared" si="0"/>
        <v>100</v>
      </c>
      <c r="T9" s="701" t="s">
        <v>14</v>
      </c>
      <c r="U9" s="702">
        <f t="shared" si="1"/>
        <v>100</v>
      </c>
      <c r="V9" s="701" t="s">
        <v>14</v>
      </c>
      <c r="W9" s="702">
        <f t="shared" si="2"/>
        <v>100</v>
      </c>
      <c r="X9" s="703"/>
      <c r="Y9" s="3575"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1690</v>
      </c>
      <c r="Q14" s="1352" t="str">
        <f t="shared" si="6"/>
        <v>交通便捷度</v>
      </c>
      <c r="R14" s="705" t="s">
        <v>14</v>
      </c>
      <c r="S14" s="706">
        <f t="shared" si="0"/>
        <v>100</v>
      </c>
      <c r="T14" s="705" t="s">
        <v>14</v>
      </c>
      <c r="U14" s="706">
        <f t="shared" si="1"/>
        <v>100</v>
      </c>
      <c r="V14" s="705" t="s">
        <v>14</v>
      </c>
      <c r="W14" s="706">
        <f t="shared" si="2"/>
        <v>100</v>
      </c>
      <c r="X14" s="1355"/>
      <c r="Y14" s="369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8"/>
      <c r="Q15" s="1352"/>
      <c r="R15" s="705"/>
      <c r="S15" s="706"/>
      <c r="T15" s="705"/>
      <c r="U15" s="706"/>
      <c r="V15" s="705"/>
      <c r="W15" s="706"/>
      <c r="X15" s="1355"/>
      <c r="Y15" s="369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8"/>
      <c r="Q17" s="1352"/>
      <c r="R17" s="705"/>
      <c r="S17" s="706"/>
      <c r="T17" s="705"/>
      <c r="U17" s="706"/>
      <c r="V17" s="705"/>
      <c r="W17" s="706"/>
      <c r="X17" s="1355"/>
      <c r="Y17" s="369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8"/>
      <c r="Q19" s="1352"/>
      <c r="R19" s="705"/>
      <c r="S19" s="706"/>
      <c r="T19" s="705"/>
      <c r="U19" s="706"/>
      <c r="V19" s="705"/>
      <c r="W19" s="706"/>
      <c r="X19" s="1355"/>
      <c r="Y19" s="369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8"/>
      <c r="Q21" s="1352"/>
      <c r="R21" s="705"/>
      <c r="S21" s="706"/>
      <c r="T21" s="705"/>
      <c r="U21" s="706"/>
      <c r="V21" s="705"/>
      <c r="W21" s="706"/>
      <c r="X21" s="1355"/>
      <c r="Y21" s="369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1695</v>
      </c>
      <c r="Q32" s="1352">
        <f t="shared" si="11"/>
        <v>111</v>
      </c>
      <c r="R32" s="705" t="s">
        <v>14</v>
      </c>
      <c r="S32" s="706">
        <f t="shared" si="12"/>
        <v>100</v>
      </c>
      <c r="T32" s="705" t="s">
        <v>14</v>
      </c>
      <c r="U32" s="706">
        <f t="shared" si="13"/>
        <v>100</v>
      </c>
      <c r="V32" s="705" t="s">
        <v>14</v>
      </c>
      <c r="W32" s="706">
        <f t="shared" si="14"/>
        <v>100</v>
      </c>
      <c r="X32" s="1355"/>
      <c r="Y32" s="370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2" t="str">
        <f>A37</f>
        <v>估价对象XX用房的比较价值（楼面单价，元/平方米）</v>
      </c>
      <c r="Q37" s="3693"/>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30"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30"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9" t="s">
        <v>1682</v>
      </c>
      <c r="Q8" s="3730"/>
      <c r="R8" s="701" t="s">
        <v>14</v>
      </c>
      <c r="S8" s="702">
        <f t="shared" si="0"/>
        <v>0</v>
      </c>
      <c r="T8" s="701" t="s">
        <v>14</v>
      </c>
      <c r="U8" s="702">
        <f t="shared" si="1"/>
        <v>0</v>
      </c>
      <c r="V8" s="701" t="s">
        <v>14</v>
      </c>
      <c r="W8" s="702">
        <f t="shared" si="2"/>
        <v>0</v>
      </c>
      <c r="X8" s="703"/>
      <c r="Y8" s="3729" t="s">
        <v>1682</v>
      </c>
      <c r="Z8" s="373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690"/>
      <c r="Q10" s="1343" t="str">
        <f t="shared" si="6"/>
        <v>土地使用年限（年）</v>
      </c>
      <c r="R10" s="701" t="s">
        <v>14</v>
      </c>
      <c r="S10" s="702">
        <f t="shared" si="0"/>
        <v>143</v>
      </c>
      <c r="T10" s="701" t="s">
        <v>14</v>
      </c>
      <c r="U10" s="702">
        <f t="shared" si="1"/>
        <v>143</v>
      </c>
      <c r="V10" s="701" t="s">
        <v>14</v>
      </c>
      <c r="W10" s="702">
        <f t="shared" si="2"/>
        <v>143</v>
      </c>
      <c r="X10" s="703"/>
      <c r="Y10" s="3575"/>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0"/>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1690</v>
      </c>
      <c r="Q15" s="1352" t="str">
        <f t="shared" si="6"/>
        <v>居住社区成熟度</v>
      </c>
      <c r="R15" s="705" t="s">
        <v>14</v>
      </c>
      <c r="S15" s="706">
        <f t="shared" si="0"/>
        <v>100</v>
      </c>
      <c r="T15" s="705" t="s">
        <v>14</v>
      </c>
      <c r="U15" s="706">
        <f t="shared" si="1"/>
        <v>100</v>
      </c>
      <c r="V15" s="705" t="s">
        <v>14</v>
      </c>
      <c r="W15" s="706">
        <f t="shared" si="2"/>
        <v>100</v>
      </c>
      <c r="X15" s="1355"/>
      <c r="Y15" s="369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8"/>
      <c r="Q20" s="1352"/>
      <c r="R20" s="705"/>
      <c r="S20" s="706"/>
      <c r="T20" s="705"/>
      <c r="U20" s="706"/>
      <c r="V20" s="705"/>
      <c r="W20" s="706"/>
      <c r="X20" s="1355"/>
      <c r="Y20" s="369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8"/>
      <c r="Q24" s="1352"/>
      <c r="R24" s="705"/>
      <c r="S24" s="706"/>
      <c r="T24" s="705"/>
      <c r="U24" s="706"/>
      <c r="V24" s="705"/>
      <c r="W24" s="706"/>
      <c r="X24" s="1355"/>
      <c r="Y24" s="369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8"/>
      <c r="Q26" s="1352"/>
      <c r="R26" s="705"/>
      <c r="S26" s="706"/>
      <c r="T26" s="705"/>
      <c r="U26" s="706"/>
      <c r="V26" s="705"/>
      <c r="W26" s="706"/>
      <c r="X26" s="1355"/>
      <c r="Y26" s="369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8"/>
      <c r="Q28" s="1343"/>
      <c r="R28" s="701"/>
      <c r="S28" s="702"/>
      <c r="T28" s="701"/>
      <c r="U28" s="702"/>
      <c r="V28" s="701"/>
      <c r="W28" s="702"/>
      <c r="X28" s="703"/>
      <c r="Y28" s="369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8"/>
      <c r="Q30" s="1343"/>
      <c r="R30" s="701"/>
      <c r="S30" s="702"/>
      <c r="T30" s="701"/>
      <c r="U30" s="702"/>
      <c r="V30" s="701"/>
      <c r="W30" s="702"/>
      <c r="X30" s="703"/>
      <c r="Y30" s="369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8"/>
      <c r="Q33" s="1352"/>
      <c r="R33" s="705"/>
      <c r="S33" s="706"/>
      <c r="T33" s="705"/>
      <c r="U33" s="706"/>
      <c r="V33" s="705"/>
      <c r="W33" s="706"/>
      <c r="X33" s="1355"/>
      <c r="Y33" s="369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0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2" t="s">
        <v>1695</v>
      </c>
      <c r="Q42" s="1352" t="str">
        <f t="shared" si="14"/>
        <v>工程地质条件</v>
      </c>
      <c r="R42" s="705" t="s">
        <v>14</v>
      </c>
      <c r="S42" s="706">
        <f t="shared" si="10"/>
        <v>100</v>
      </c>
      <c r="T42" s="705" t="s">
        <v>14</v>
      </c>
      <c r="U42" s="706">
        <f t="shared" si="11"/>
        <v>100</v>
      </c>
      <c r="V42" s="705" t="s">
        <v>14</v>
      </c>
      <c r="W42" s="706">
        <f t="shared" si="12"/>
        <v>100</v>
      </c>
      <c r="X42" s="1355"/>
      <c r="Y42" s="370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90" t="str">
        <f>A46</f>
        <v>成交单价</v>
      </c>
      <c r="Q46" s="3690"/>
      <c r="R46" s="3704">
        <f>E46</f>
        <v>0</v>
      </c>
      <c r="S46" s="3704"/>
      <c r="T46" s="3704">
        <f>G46</f>
        <v>0</v>
      </c>
      <c r="U46" s="3704"/>
      <c r="V46" s="3704">
        <f>I46</f>
        <v>0</v>
      </c>
      <c r="W46" s="3704"/>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90" t="str">
        <f>A47</f>
        <v>比较价值（元/平方米）</v>
      </c>
      <c r="Q47" s="3690"/>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2" t="str">
        <f>A48</f>
        <v>估价对象XX用房的比较价值（楼面单价，元/平方米）</v>
      </c>
      <c r="Q48" s="3693"/>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09"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5"/>
      <c r="H56" s="369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84" t="s">
        <v>1918</v>
      </c>
      <c r="D6" s="3785"/>
      <c r="E6" s="3786" t="s">
        <v>1918</v>
      </c>
      <c r="F6" s="3787"/>
      <c r="G6" s="3784" t="s">
        <v>1918</v>
      </c>
      <c r="H6" s="3785"/>
      <c r="I6" s="3784" t="s">
        <v>1918</v>
      </c>
      <c r="J6" s="3785"/>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9" t="s">
        <v>1682</v>
      </c>
      <c r="Q8" s="3730"/>
      <c r="R8" s="701" t="s">
        <v>14</v>
      </c>
      <c r="S8" s="702">
        <f t="shared" si="0"/>
        <v>0</v>
      </c>
      <c r="T8" s="701" t="s">
        <v>14</v>
      </c>
      <c r="U8" s="702">
        <f t="shared" si="1"/>
        <v>0</v>
      </c>
      <c r="V8" s="701" t="s">
        <v>14</v>
      </c>
      <c r="W8" s="702">
        <f t="shared" si="2"/>
        <v>0</v>
      </c>
      <c r="X8" s="703"/>
      <c r="Y8" s="3729" t="s">
        <v>1682</v>
      </c>
      <c r="Z8" s="373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690"/>
      <c r="Q10" s="1343" t="str">
        <f t="shared" si="6"/>
        <v>土地使用年限（年）</v>
      </c>
      <c r="R10" s="701" t="s">
        <v>14</v>
      </c>
      <c r="S10" s="702">
        <f t="shared" si="0"/>
        <v>143</v>
      </c>
      <c r="T10" s="701" t="s">
        <v>14</v>
      </c>
      <c r="U10" s="702">
        <f t="shared" si="1"/>
        <v>143</v>
      </c>
      <c r="V10" s="701" t="s">
        <v>14</v>
      </c>
      <c r="W10" s="702">
        <f t="shared" si="2"/>
        <v>143</v>
      </c>
      <c r="X10" s="703"/>
      <c r="Y10" s="3575"/>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1690</v>
      </c>
      <c r="Q15" s="1352" t="str">
        <f t="shared" si="6"/>
        <v>产业集聚程度</v>
      </c>
      <c r="R15" s="705" t="s">
        <v>14</v>
      </c>
      <c r="S15" s="706">
        <f t="shared" si="0"/>
        <v>100</v>
      </c>
      <c r="T15" s="705" t="s">
        <v>14</v>
      </c>
      <c r="U15" s="706">
        <f t="shared" si="1"/>
        <v>100</v>
      </c>
      <c r="V15" s="705" t="s">
        <v>14</v>
      </c>
      <c r="W15" s="706">
        <f t="shared" si="2"/>
        <v>100</v>
      </c>
      <c r="X15" s="1355"/>
      <c r="Y15" s="369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8"/>
      <c r="Q20" s="1352"/>
      <c r="R20" s="705"/>
      <c r="S20" s="706"/>
      <c r="T20" s="705"/>
      <c r="U20" s="706"/>
      <c r="V20" s="705"/>
      <c r="W20" s="706"/>
      <c r="X20" s="1355"/>
      <c r="Y20" s="369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8"/>
      <c r="Q24" s="1343"/>
      <c r="R24" s="701"/>
      <c r="S24" s="702"/>
      <c r="T24" s="701"/>
      <c r="U24" s="702"/>
      <c r="V24" s="701"/>
      <c r="W24" s="702"/>
      <c r="X24" s="703"/>
      <c r="Y24" s="369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8"/>
      <c r="Q26" s="1343"/>
      <c r="R26" s="701"/>
      <c r="S26" s="702"/>
      <c r="T26" s="701"/>
      <c r="U26" s="702"/>
      <c r="V26" s="701"/>
      <c r="W26" s="702"/>
      <c r="X26" s="703"/>
      <c r="Y26" s="369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8"/>
      <c r="Q29" s="1352"/>
      <c r="R29" s="705"/>
      <c r="S29" s="706"/>
      <c r="T29" s="705"/>
      <c r="U29" s="706"/>
      <c r="V29" s="705"/>
      <c r="W29" s="706"/>
      <c r="X29" s="1355"/>
      <c r="Y29" s="369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0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2" t="s">
        <v>1695</v>
      </c>
      <c r="Q37" s="1352" t="str">
        <f t="shared" si="14"/>
        <v>工程地质条件</v>
      </c>
      <c r="R37" s="705" t="s">
        <v>14</v>
      </c>
      <c r="S37" s="706">
        <f t="shared" si="10"/>
        <v>100</v>
      </c>
      <c r="T37" s="705" t="s">
        <v>14</v>
      </c>
      <c r="U37" s="706">
        <f t="shared" si="11"/>
        <v>100</v>
      </c>
      <c r="V37" s="705" t="s">
        <v>14</v>
      </c>
      <c r="W37" s="706">
        <f t="shared" si="12"/>
        <v>100</v>
      </c>
      <c r="X37" s="1355"/>
      <c r="Y37" s="370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90" t="str">
        <f>A41</f>
        <v>成交单价</v>
      </c>
      <c r="Q41" s="3690"/>
      <c r="R41" s="3704">
        <f>E41</f>
        <v>0</v>
      </c>
      <c r="S41" s="3704"/>
      <c r="T41" s="3704">
        <f>G41</f>
        <v>0</v>
      </c>
      <c r="U41" s="3704"/>
      <c r="V41" s="3704">
        <f>I41</f>
        <v>0</v>
      </c>
      <c r="W41" s="3704"/>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90" t="str">
        <f>A42</f>
        <v>比较价值（元/平方米）</v>
      </c>
      <c r="Q42" s="3690"/>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2" t="str">
        <f>A43</f>
        <v>估价对象XX用房的比较价值（楼面单价，元/平方米）</v>
      </c>
      <c r="Q43" s="3693"/>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09"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5"/>
      <c r="H51" s="369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1224.2497000000001</v>
      </c>
      <c r="C2" s="1387" t="s">
        <v>879</v>
      </c>
      <c r="D2" s="1471">
        <f ca="1">C40+J29+L46</f>
        <v>12242497</v>
      </c>
      <c r="E2" s="1388" t="s">
        <v>880</v>
      </c>
      <c r="F2" s="1389"/>
      <c r="G2" s="2704"/>
      <c r="H2" s="2693"/>
      <c r="I2" s="2693"/>
      <c r="J2" s="2693"/>
      <c r="K2" s="2694"/>
      <c r="L2" s="2693"/>
      <c r="M2" s="2693"/>
    </row>
    <row r="3" spans="1:37" ht="18" customHeight="1" thickBot="1">
      <c r="A3" s="1390" t="s">
        <v>881</v>
      </c>
      <c r="B3" s="1391">
        <f ca="1">IF(ISERROR(D2/F43),0,ROUND(D2/F43,0))</f>
        <v>7837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9" t="s">
        <v>694</v>
      </c>
      <c r="C6" s="1074">
        <f ca="1">ROUND(F6*F8*F7*(1-F9),0)</f>
        <v>1129031</v>
      </c>
      <c r="D6" s="155" t="s">
        <v>2104</v>
      </c>
      <c r="E6" s="302" t="s">
        <v>696</v>
      </c>
      <c r="F6" s="303">
        <f ca="1">INDIRECT("'数据-取费表'!u"&amp;$G$1)</f>
        <v>2.2000000000000002</v>
      </c>
      <c r="G6" s="1384"/>
      <c r="H6" s="1069" t="s">
        <v>398</v>
      </c>
      <c r="I6" s="3739" t="s">
        <v>694</v>
      </c>
      <c r="J6" s="301">
        <f ca="1">ROUND(M6*M8*M7*(1-M9),0)</f>
        <v>0</v>
      </c>
      <c r="K6" s="1376" t="s">
        <v>2105</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1562.24</v>
      </c>
      <c r="G7" s="1384"/>
      <c r="H7" s="304"/>
      <c r="I7" s="3740"/>
      <c r="J7" s="306"/>
      <c r="K7" s="307"/>
      <c r="L7" s="302" t="s">
        <v>697</v>
      </c>
      <c r="M7" s="303">
        <f ca="1">F7</f>
        <v>1562.24</v>
      </c>
    </row>
    <row r="8" spans="1:37" ht="18" customHeight="1">
      <c r="A8" s="304"/>
      <c r="B8" s="3740"/>
      <c r="C8" s="306"/>
      <c r="D8" s="307"/>
      <c r="E8" s="302" t="s">
        <v>698</v>
      </c>
      <c r="F8" s="303">
        <f ca="1">INDIRECT("'数据-取费表'!ai"&amp;$G$1)</f>
        <v>365</v>
      </c>
      <c r="G8" s="1384"/>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4491688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268135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4492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862307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11584915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-1237.7757999999999</v>
      </c>
      <c r="D45" s="3430" t="s">
        <v>3352</v>
      </c>
      <c r="E45" s="1400"/>
      <c r="F45" s="1400"/>
      <c r="O45" s="1403" t="s">
        <v>808</v>
      </c>
      <c r="P45" s="1461"/>
      <c r="Q45" s="1461"/>
      <c r="R45" s="1461"/>
    </row>
    <row r="46" spans="1:18" s="1384" customFormat="1" ht="13.5"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11584915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9401272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7" t="s">
        <v>837</v>
      </c>
      <c r="L53" s="3738"/>
      <c r="O53" s="1418" t="s">
        <v>409</v>
      </c>
      <c r="P53" s="1419" t="s">
        <v>838</v>
      </c>
      <c r="Q53" s="1420">
        <f ca="1">Q47+Q48</f>
        <v>12242497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4491688</v>
      </c>
      <c r="D56" s="1447"/>
      <c r="E56" s="1448"/>
      <c r="F56" s="1440"/>
      <c r="I56" s="1449" t="s">
        <v>842</v>
      </c>
      <c r="J56" s="1450" t="s">
        <v>3403</v>
      </c>
      <c r="K56" s="1421" t="s">
        <v>843</v>
      </c>
      <c r="L56" s="1424" t="str">
        <f ca="1">IF(L48&lt;J51,"——",L48-J51)</f>
        <v>——</v>
      </c>
      <c r="O56" s="1418" t="s">
        <v>403</v>
      </c>
      <c r="P56" s="1419" t="s">
        <v>817</v>
      </c>
      <c r="Q56" s="1420">
        <f ca="1">C40+J29</f>
        <v>11584915</v>
      </c>
      <c r="R56" s="1420" t="s">
        <v>818</v>
      </c>
    </row>
    <row r="57" spans="1:18" s="1384" customFormat="1" ht="24.75"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68659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11584915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4492</v>
      </c>
      <c r="D65" s="964" t="s">
        <v>743</v>
      </c>
      <c r="E65" s="950" t="s">
        <v>744</v>
      </c>
      <c r="F65" s="330">
        <f t="shared" ca="1" si="0"/>
        <v>1E-3</v>
      </c>
      <c r="I65" s="1462" t="s">
        <v>867</v>
      </c>
      <c r="J65" s="1463">
        <v>40</v>
      </c>
      <c r="K65" s="1463">
        <v>30</v>
      </c>
      <c r="L65" s="1463">
        <v>50</v>
      </c>
      <c r="M65" s="1465">
        <v>0.02</v>
      </c>
      <c r="O65" s="1418" t="s">
        <v>403</v>
      </c>
      <c r="P65" s="1419" t="s">
        <v>868</v>
      </c>
      <c r="Q65" s="1420">
        <f ca="1">C40+J29</f>
        <v>11584915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-68659</v>
      </c>
      <c r="D67" s="963" t="s">
        <v>753</v>
      </c>
      <c r="E67" s="968"/>
      <c r="F67" s="969"/>
      <c r="O67" s="1428" t="s">
        <v>405</v>
      </c>
      <c r="P67" s="1419" t="s">
        <v>850</v>
      </c>
      <c r="Q67" s="1466">
        <f ca="1">L51</f>
        <v>9401272</v>
      </c>
      <c r="R67" s="1420" t="s">
        <v>870</v>
      </c>
    </row>
    <row r="68" spans="1:18" s="1384" customFormat="1" ht="16.5" thickBot="1">
      <c r="A68" s="947" t="s">
        <v>395</v>
      </c>
      <c r="B68" s="948" t="s">
        <v>774</v>
      </c>
      <c r="C68" s="301">
        <f ca="1">ROUND(C67*(1-((1+F70)/(1+F68))^F69)/(F68-F70),0)</f>
        <v>-792843</v>
      </c>
      <c r="D68" s="965" t="s">
        <v>758</v>
      </c>
      <c r="E68" s="950" t="s">
        <v>759</v>
      </c>
      <c r="F68" s="312">
        <f ca="1">F40</f>
        <v>5.5E-2</v>
      </c>
      <c r="O68" s="1428" t="s">
        <v>406</v>
      </c>
      <c r="P68" s="1467" t="s">
        <v>871</v>
      </c>
      <c r="Q68" s="1420">
        <f ca="1">ROUND(Q69-Q70*Q71,0)</f>
        <v>547889</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862307</v>
      </c>
      <c r="R69" s="1420" t="s">
        <v>818</v>
      </c>
    </row>
    <row r="70" spans="1:18" s="1384" customFormat="1" ht="13.5" thickBot="1">
      <c r="A70" s="954"/>
      <c r="B70" s="955"/>
      <c r="C70" s="310"/>
      <c r="D70" s="966"/>
      <c r="E70" s="950" t="s">
        <v>766</v>
      </c>
      <c r="F70" s="1054"/>
      <c r="O70" s="1428" t="s">
        <v>412</v>
      </c>
      <c r="P70" s="1467" t="s">
        <v>873</v>
      </c>
      <c r="Q70" s="1420">
        <f ca="1">C13</f>
        <v>4491688</v>
      </c>
      <c r="R70" s="1420" t="s">
        <v>818</v>
      </c>
    </row>
    <row r="71" spans="1:18" s="1384" customFormat="1" ht="13.5" thickBot="1">
      <c r="A71" s="971" t="s">
        <v>396</v>
      </c>
      <c r="B71" s="972" t="s">
        <v>776</v>
      </c>
      <c r="C71" s="336">
        <f ca="1">ROUND(C68/F71,0)</f>
        <v>-508</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314418</v>
      </c>
      <c r="D75" s="1384"/>
      <c r="E75" s="1384"/>
      <c r="F75" s="1384"/>
      <c r="K75" s="1402"/>
      <c r="L75" s="1384"/>
      <c r="O75" s="1418" t="s">
        <v>409</v>
      </c>
      <c r="P75" s="1419" t="s">
        <v>838</v>
      </c>
      <c r="Q75" s="1420">
        <f ca="1">Q65+Q66</f>
        <v>11584915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1466</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9384</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8" t="s">
        <v>27</v>
      </c>
      <c r="D22" s="3789"/>
      <c r="E22" s="3789"/>
      <c r="F22" s="3789"/>
      <c r="G22" s="3789"/>
      <c r="H22" s="3789"/>
      <c r="I22" s="3789"/>
      <c r="J22" s="3789"/>
      <c r="K22" s="3789"/>
      <c r="L22" s="3789"/>
      <c r="M22" s="3789"/>
      <c r="N22" s="3789"/>
      <c r="O22" s="3789"/>
      <c r="P22" s="3789"/>
      <c r="Q22" s="3790"/>
      <c r="R22" s="663">
        <f ca="1">ROUND(S22*10000/B22,0)</f>
        <v>9384</v>
      </c>
      <c r="S22" s="21">
        <f ca="1">SUM(S24:S10000)</f>
        <v>1466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9246</v>
      </c>
      <c r="S24" s="666">
        <f t="shared" ref="S24:S54" ca="1" si="11">ROUND(R24*B24/10000,0)</f>
        <v>1096</v>
      </c>
      <c r="T24" s="730">
        <f ca="1">ROUND(R24*B24,0)</f>
        <v>10962520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9801</v>
      </c>
      <c r="S25" s="316">
        <f t="shared" ca="1" si="11"/>
        <v>100</v>
      </c>
      <c r="T25" s="730">
        <f t="shared" ref="T25:T28" ca="1" si="12">ROUND(R25*B25,0)</f>
        <v>998232</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9801</v>
      </c>
      <c r="S26" s="316">
        <f t="shared" ca="1" si="11"/>
        <v>116</v>
      </c>
      <c r="T26" s="730">
        <f t="shared" ca="1" si="12"/>
        <v>1155930</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9801</v>
      </c>
      <c r="S27" s="316">
        <f t="shared" ca="1" si="11"/>
        <v>154</v>
      </c>
      <c r="T27" s="730">
        <f t="shared" ca="1" si="12"/>
        <v>1536797</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9986</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14653479</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945</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945</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3" t="s">
        <v>2608</v>
      </c>
      <c r="B20" s="3798" t="s">
        <v>2629</v>
      </c>
      <c r="C20" s="3101" t="s">
        <v>2440</v>
      </c>
      <c r="D20" s="3102"/>
      <c r="E20" s="3103">
        <v>1</v>
      </c>
      <c r="F20" s="3104" t="s">
        <v>2441</v>
      </c>
      <c r="G20" s="3104"/>
    </row>
    <row r="21" spans="1:13" ht="19.5" customHeight="1">
      <c r="A21" s="3804"/>
      <c r="B21" s="3797"/>
      <c r="C21" s="3105" t="s">
        <v>2442</v>
      </c>
      <c r="D21" s="3106"/>
      <c r="E21" s="3107">
        <v>1</v>
      </c>
      <c r="F21" s="3104" t="s">
        <v>2443</v>
      </c>
      <c r="G21" s="3104"/>
    </row>
    <row r="22" spans="1:13" ht="19.5" customHeight="1">
      <c r="A22" s="3804"/>
      <c r="B22" s="3797"/>
      <c r="C22" s="3105" t="s">
        <v>2444</v>
      </c>
      <c r="D22" s="3106"/>
      <c r="E22" s="3107">
        <v>0.9</v>
      </c>
      <c r="F22" s="3104" t="s">
        <v>2445</v>
      </c>
      <c r="G22" s="3104"/>
    </row>
    <row r="23" spans="1:13" ht="19.5" customHeight="1">
      <c r="A23" s="3804"/>
      <c r="B23" s="3797"/>
      <c r="C23" s="3105" t="s">
        <v>2446</v>
      </c>
      <c r="D23" s="3106"/>
      <c r="E23" s="3107">
        <v>0.9</v>
      </c>
      <c r="F23" s="3104" t="s">
        <v>2447</v>
      </c>
      <c r="G23" s="3104"/>
    </row>
    <row r="24" spans="1:13" ht="19.5" customHeight="1">
      <c r="A24" s="3804"/>
      <c r="B24" s="3797"/>
      <c r="C24" s="3105" t="s">
        <v>2448</v>
      </c>
      <c r="D24" s="3106"/>
      <c r="E24" s="3107">
        <v>0.8</v>
      </c>
      <c r="F24" s="3104" t="s">
        <v>2449</v>
      </c>
      <c r="G24" s="3104"/>
    </row>
    <row r="25" spans="1:13" ht="19.5" customHeight="1" thickBot="1">
      <c r="A25" s="3805"/>
      <c r="B25" s="3799"/>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00" t="s">
        <v>2632</v>
      </c>
      <c r="B27" s="3798" t="s">
        <v>2613</v>
      </c>
      <c r="C27" s="3101" t="s">
        <v>2453</v>
      </c>
      <c r="D27" s="3102"/>
      <c r="E27" s="3103">
        <v>1</v>
      </c>
      <c r="F27" s="3104" t="s">
        <v>2454</v>
      </c>
      <c r="G27" s="3104"/>
    </row>
    <row r="28" spans="1:13" ht="19.5" customHeight="1">
      <c r="A28" s="3801"/>
      <c r="B28" s="3797"/>
      <c r="C28" s="3105" t="s">
        <v>2455</v>
      </c>
      <c r="D28" s="3106"/>
      <c r="E28" s="3107">
        <v>1</v>
      </c>
      <c r="F28" s="3104" t="s">
        <v>2456</v>
      </c>
      <c r="G28" s="3104"/>
    </row>
    <row r="29" spans="1:13" ht="19.5" customHeight="1">
      <c r="A29" s="3801"/>
      <c r="B29" s="3797"/>
      <c r="C29" s="3105" t="s">
        <v>2457</v>
      </c>
      <c r="D29" s="3106"/>
      <c r="E29" s="3107">
        <v>0.8</v>
      </c>
      <c r="F29" s="3104" t="s">
        <v>2458</v>
      </c>
      <c r="G29" s="3104"/>
    </row>
    <row r="30" spans="1:13" ht="19.5" customHeight="1">
      <c r="A30" s="3801"/>
      <c r="B30" s="3797"/>
      <c r="C30" s="3105" t="s">
        <v>2459</v>
      </c>
      <c r="D30" s="3106"/>
      <c r="E30" s="3107">
        <v>0.8</v>
      </c>
      <c r="F30" s="3104" t="s">
        <v>2460</v>
      </c>
      <c r="G30" s="3104"/>
    </row>
    <row r="31" spans="1:13" ht="19.5" customHeight="1">
      <c r="A31" s="3801"/>
      <c r="B31" s="3797"/>
      <c r="C31" s="3105" t="s">
        <v>2461</v>
      </c>
      <c r="D31" s="3106"/>
      <c r="E31" s="3107">
        <v>0.8</v>
      </c>
      <c r="F31" s="3104" t="s">
        <v>2462</v>
      </c>
      <c r="G31" s="3104"/>
    </row>
    <row r="32" spans="1:13" ht="19.5" customHeight="1">
      <c r="A32" s="3801"/>
      <c r="B32" s="3797"/>
      <c r="C32" s="3105" t="s">
        <v>2463</v>
      </c>
      <c r="D32" s="3106"/>
      <c r="E32" s="3107">
        <v>0.7</v>
      </c>
      <c r="F32" s="3104" t="s">
        <v>2464</v>
      </c>
      <c r="G32" s="3104"/>
    </row>
    <row r="33" spans="1:7" ht="19.5" customHeight="1">
      <c r="A33" s="3801"/>
      <c r="B33" s="3797"/>
      <c r="C33" s="3105" t="s">
        <v>2465</v>
      </c>
      <c r="D33" s="3106"/>
      <c r="E33" s="3107">
        <v>0.8</v>
      </c>
      <c r="F33" s="3104" t="s">
        <v>2466</v>
      </c>
      <c r="G33" s="3104"/>
    </row>
    <row r="34" spans="1:7" ht="19.5" customHeight="1">
      <c r="A34" s="3801"/>
      <c r="B34" s="3797"/>
      <c r="C34" s="3105" t="s">
        <v>2467</v>
      </c>
      <c r="D34" s="3106"/>
      <c r="E34" s="3107">
        <v>0.6</v>
      </c>
      <c r="F34" s="3104" t="s">
        <v>2468</v>
      </c>
      <c r="G34" s="3104"/>
    </row>
    <row r="35" spans="1:7" ht="19.5" customHeight="1">
      <c r="A35" s="3801"/>
      <c r="B35" s="3797"/>
      <c r="C35" s="3105" t="s">
        <v>2469</v>
      </c>
      <c r="D35" s="3106"/>
      <c r="E35" s="3107">
        <v>0.2</v>
      </c>
      <c r="F35" s="3104" t="s">
        <v>2470</v>
      </c>
      <c r="G35" s="3104"/>
    </row>
    <row r="36" spans="1:7" ht="19.5" customHeight="1">
      <c r="A36" s="3801"/>
      <c r="B36" s="3797"/>
      <c r="C36" s="3105" t="s">
        <v>2471</v>
      </c>
      <c r="D36" s="3106"/>
      <c r="E36" s="3107">
        <v>0.2</v>
      </c>
      <c r="F36" s="3104" t="s">
        <v>2472</v>
      </c>
      <c r="G36" s="3104"/>
    </row>
    <row r="37" spans="1:7" ht="19.5" customHeight="1">
      <c r="A37" s="3801"/>
      <c r="B37" s="3795" t="s">
        <v>2633</v>
      </c>
      <c r="C37" s="3105" t="s">
        <v>2473</v>
      </c>
      <c r="D37" s="3106"/>
      <c r="E37" s="3107">
        <v>0.6</v>
      </c>
      <c r="F37" s="3104" t="s">
        <v>2474</v>
      </c>
      <c r="G37" s="3104"/>
    </row>
    <row r="38" spans="1:7" ht="19.5" customHeight="1">
      <c r="A38" s="3801"/>
      <c r="B38" s="3797"/>
      <c r="C38" s="3105" t="s">
        <v>2475</v>
      </c>
      <c r="D38" s="3106"/>
      <c r="E38" s="3107">
        <v>0.6</v>
      </c>
      <c r="F38" s="3104" t="s">
        <v>2476</v>
      </c>
      <c r="G38" s="3104"/>
    </row>
    <row r="39" spans="1:7" ht="19.5" customHeight="1" thickBot="1">
      <c r="A39" s="3802"/>
      <c r="B39" s="3799"/>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3" t="s">
        <v>2611</v>
      </c>
      <c r="B41" s="3798" t="s">
        <v>2635</v>
      </c>
      <c r="C41" s="3101" t="s">
        <v>2480</v>
      </c>
      <c r="D41" s="3102"/>
      <c r="E41" s="3103">
        <v>1</v>
      </c>
      <c r="F41" s="3104" t="s">
        <v>2481</v>
      </c>
      <c r="G41" s="3104"/>
    </row>
    <row r="42" spans="1:7" ht="19.5" customHeight="1">
      <c r="A42" s="3804"/>
      <c r="B42" s="3797"/>
      <c r="C42" s="3105" t="s">
        <v>2482</v>
      </c>
      <c r="D42" s="3106"/>
      <c r="E42" s="3107">
        <v>1</v>
      </c>
      <c r="F42" s="3104" t="s">
        <v>2483</v>
      </c>
      <c r="G42" s="3104"/>
    </row>
    <row r="43" spans="1:7" ht="19.5" customHeight="1">
      <c r="A43" s="3804"/>
      <c r="B43" s="3796"/>
      <c r="C43" s="3105" t="s">
        <v>2484</v>
      </c>
      <c r="D43" s="3106"/>
      <c r="E43" s="3107">
        <v>1.5</v>
      </c>
      <c r="F43" s="3104" t="s">
        <v>2485</v>
      </c>
      <c r="G43" s="3104"/>
    </row>
    <row r="44" spans="1:7" ht="19.5" customHeight="1">
      <c r="A44" s="3804"/>
      <c r="B44" s="3116" t="s">
        <v>2636</v>
      </c>
      <c r="C44" s="3105" t="s">
        <v>2637</v>
      </c>
      <c r="D44" s="3106"/>
      <c r="E44" s="3107">
        <v>2</v>
      </c>
      <c r="F44" s="3104" t="s">
        <v>2486</v>
      </c>
      <c r="G44" s="3104"/>
    </row>
    <row r="45" spans="1:7" ht="19.5" customHeight="1">
      <c r="A45" s="3804"/>
      <c r="B45" s="3795" t="s">
        <v>2638</v>
      </c>
      <c r="C45" s="3105" t="s">
        <v>2487</v>
      </c>
      <c r="D45" s="3106"/>
      <c r="E45" s="3107">
        <v>1</v>
      </c>
      <c r="F45" s="3104" t="s">
        <v>2488</v>
      </c>
      <c r="G45" s="3104"/>
    </row>
    <row r="46" spans="1:7" ht="19.5" customHeight="1">
      <c r="A46" s="3804"/>
      <c r="B46" s="3797"/>
      <c r="C46" s="3105" t="s">
        <v>2489</v>
      </c>
      <c r="D46" s="3106"/>
      <c r="E46" s="3107">
        <v>1</v>
      </c>
      <c r="F46" s="3104" t="s">
        <v>2490</v>
      </c>
      <c r="G46" s="3104"/>
    </row>
    <row r="47" spans="1:7" ht="19.5" customHeight="1">
      <c r="A47" s="3804"/>
      <c r="B47" s="3797"/>
      <c r="C47" s="3105" t="s">
        <v>2491</v>
      </c>
      <c r="D47" s="3106"/>
      <c r="E47" s="3107">
        <v>1</v>
      </c>
      <c r="F47" s="3104" t="s">
        <v>2492</v>
      </c>
      <c r="G47" s="3104"/>
    </row>
    <row r="48" spans="1:7" ht="19.5" customHeight="1">
      <c r="A48" s="3804"/>
      <c r="B48" s="3797"/>
      <c r="C48" s="3105" t="s">
        <v>2493</v>
      </c>
      <c r="D48" s="3106"/>
      <c r="E48" s="3107">
        <v>1</v>
      </c>
      <c r="F48" s="3104" t="s">
        <v>2494</v>
      </c>
      <c r="G48" s="3104"/>
    </row>
    <row r="49" spans="1:7" ht="19.5" customHeight="1">
      <c r="A49" s="3804"/>
      <c r="B49" s="3797"/>
      <c r="C49" s="3105" t="s">
        <v>2495</v>
      </c>
      <c r="D49" s="3106"/>
      <c r="E49" s="3107">
        <v>1</v>
      </c>
      <c r="F49" s="3104" t="s">
        <v>2496</v>
      </c>
      <c r="G49" s="3104"/>
    </row>
    <row r="50" spans="1:7" ht="19.5" customHeight="1">
      <c r="A50" s="3804"/>
      <c r="B50" s="3797"/>
      <c r="C50" s="3105" t="s">
        <v>2497</v>
      </c>
      <c r="D50" s="3106"/>
      <c r="E50" s="3107">
        <v>1</v>
      </c>
      <c r="F50" s="3104" t="s">
        <v>2498</v>
      </c>
      <c r="G50" s="3104"/>
    </row>
    <row r="51" spans="1:7" ht="19.5" customHeight="1" thickBot="1">
      <c r="A51" s="3805"/>
      <c r="B51" s="3799"/>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5" t="s">
        <v>2652</v>
      </c>
      <c r="C73" s="3090" t="s">
        <v>2653</v>
      </c>
      <c r="D73" s="3090" t="s">
        <v>2654</v>
      </c>
      <c r="E73" s="3116">
        <v>0.2</v>
      </c>
      <c r="F73" s="3116">
        <v>25</v>
      </c>
    </row>
    <row r="74" spans="1:7" ht="24">
      <c r="A74" s="3116">
        <v>2</v>
      </c>
      <c r="B74" s="3797"/>
      <c r="C74" s="3090" t="s">
        <v>2655</v>
      </c>
      <c r="D74" s="3090" t="s">
        <v>2656</v>
      </c>
      <c r="E74" s="3116">
        <v>0.2</v>
      </c>
      <c r="F74" s="3116">
        <v>25</v>
      </c>
    </row>
    <row r="75" spans="1:7" ht="24">
      <c r="A75" s="3116">
        <v>3</v>
      </c>
      <c r="B75" s="3797"/>
      <c r="C75" s="3090" t="s">
        <v>2657</v>
      </c>
      <c r="D75" s="3090" t="s">
        <v>2658</v>
      </c>
      <c r="E75" s="3116">
        <v>0.2</v>
      </c>
      <c r="F75" s="3116">
        <v>25</v>
      </c>
    </row>
    <row r="76" spans="1:7" ht="13.5">
      <c r="A76" s="3116">
        <v>4</v>
      </c>
      <c r="B76" s="3797"/>
      <c r="C76" s="3090" t="s">
        <v>2659</v>
      </c>
      <c r="D76" s="3090" t="s">
        <v>2660</v>
      </c>
      <c r="E76" s="3116">
        <v>0.15</v>
      </c>
      <c r="F76" s="3116">
        <v>20</v>
      </c>
    </row>
    <row r="77" spans="1:7" ht="24">
      <c r="A77" s="3116">
        <v>5</v>
      </c>
      <c r="B77" s="3797"/>
      <c r="C77" s="3090" t="s">
        <v>2661</v>
      </c>
      <c r="D77" s="3090" t="s">
        <v>2662</v>
      </c>
      <c r="E77" s="3116">
        <v>0.15</v>
      </c>
      <c r="F77" s="3116">
        <v>20</v>
      </c>
    </row>
    <row r="78" spans="1:7" ht="24">
      <c r="A78" s="3116">
        <v>6</v>
      </c>
      <c r="B78" s="3797"/>
      <c r="C78" s="3090" t="s">
        <v>2663</v>
      </c>
      <c r="D78" s="3090" t="s">
        <v>2664</v>
      </c>
      <c r="E78" s="3116">
        <v>0.15</v>
      </c>
      <c r="F78" s="3116">
        <v>20</v>
      </c>
    </row>
    <row r="79" spans="1:7" ht="24">
      <c r="A79" s="3116">
        <v>7</v>
      </c>
      <c r="B79" s="3797"/>
      <c r="C79" s="3090" t="s">
        <v>2665</v>
      </c>
      <c r="D79" s="3090" t="s">
        <v>2666</v>
      </c>
      <c r="E79" s="3116">
        <v>0.15</v>
      </c>
      <c r="F79" s="3116">
        <v>20</v>
      </c>
    </row>
    <row r="80" spans="1:7" ht="24">
      <c r="A80" s="3116">
        <v>8</v>
      </c>
      <c r="B80" s="3797"/>
      <c r="C80" s="3090" t="s">
        <v>2667</v>
      </c>
      <c r="D80" s="3090" t="s">
        <v>2668</v>
      </c>
      <c r="E80" s="3116">
        <v>0.1</v>
      </c>
      <c r="F80" s="3116">
        <v>15</v>
      </c>
    </row>
    <row r="81" spans="1:6" ht="24">
      <c r="A81" s="3116">
        <v>9</v>
      </c>
      <c r="B81" s="3797"/>
      <c r="C81" s="3090" t="s">
        <v>2669</v>
      </c>
      <c r="D81" s="3090" t="s">
        <v>2670</v>
      </c>
      <c r="E81" s="3116">
        <v>0.1</v>
      </c>
      <c r="F81" s="3116">
        <v>15</v>
      </c>
    </row>
    <row r="82" spans="1:6" ht="24">
      <c r="A82" s="3116">
        <v>10</v>
      </c>
      <c r="B82" s="3797"/>
      <c r="C82" s="3090" t="s">
        <v>2671</v>
      </c>
      <c r="D82" s="3090" t="s">
        <v>2672</v>
      </c>
      <c r="E82" s="3116">
        <v>0.1</v>
      </c>
      <c r="F82" s="3116">
        <v>15</v>
      </c>
    </row>
    <row r="83" spans="1:6" ht="24">
      <c r="A83" s="3116">
        <v>11</v>
      </c>
      <c r="B83" s="3797"/>
      <c r="C83" s="3090" t="s">
        <v>2673</v>
      </c>
      <c r="D83" s="3090" t="s">
        <v>2674</v>
      </c>
      <c r="E83" s="3116">
        <v>0.1</v>
      </c>
      <c r="F83" s="3116">
        <v>15</v>
      </c>
    </row>
    <row r="84" spans="1:6" ht="24">
      <c r="A84" s="3116">
        <v>12</v>
      </c>
      <c r="B84" s="3797"/>
      <c r="C84" s="3090" t="s">
        <v>2675</v>
      </c>
      <c r="D84" s="3090" t="s">
        <v>2676</v>
      </c>
      <c r="E84" s="3116">
        <v>0.1</v>
      </c>
      <c r="F84" s="3116">
        <v>15</v>
      </c>
    </row>
    <row r="85" spans="1:6" ht="13.5">
      <c r="A85" s="3116">
        <v>13</v>
      </c>
      <c r="B85" s="3797"/>
      <c r="C85" s="3090" t="s">
        <v>2677</v>
      </c>
      <c r="D85" s="3090" t="s">
        <v>2678</v>
      </c>
      <c r="E85" s="3116">
        <v>0.1</v>
      </c>
      <c r="F85" s="3116">
        <v>15</v>
      </c>
    </row>
    <row r="86" spans="1:6" ht="13.5">
      <c r="A86" s="3116">
        <v>14</v>
      </c>
      <c r="B86" s="3797"/>
      <c r="C86" s="3090" t="s">
        <v>2679</v>
      </c>
      <c r="D86" s="3090" t="s">
        <v>2680</v>
      </c>
      <c r="E86" s="3116">
        <v>0.1</v>
      </c>
      <c r="F86" s="3116">
        <v>15</v>
      </c>
    </row>
    <row r="87" spans="1:6" ht="13.5">
      <c r="A87" s="3116">
        <v>15</v>
      </c>
      <c r="B87" s="3797"/>
      <c r="C87" s="3090" t="s">
        <v>2681</v>
      </c>
      <c r="D87" s="3090" t="s">
        <v>2682</v>
      </c>
      <c r="E87" s="3116">
        <v>0.1</v>
      </c>
      <c r="F87" s="3116">
        <v>15</v>
      </c>
    </row>
    <row r="88" spans="1:6" ht="24">
      <c r="A88" s="3116">
        <v>16</v>
      </c>
      <c r="B88" s="3797"/>
      <c r="C88" s="3090" t="s">
        <v>2683</v>
      </c>
      <c r="D88" s="3090" t="s">
        <v>2684</v>
      </c>
      <c r="E88" s="3116">
        <v>0.1</v>
      </c>
      <c r="F88" s="3116">
        <v>15</v>
      </c>
    </row>
    <row r="89" spans="1:6" ht="24">
      <c r="A89" s="3116">
        <v>17</v>
      </c>
      <c r="B89" s="3796"/>
      <c r="C89" s="3090" t="s">
        <v>2685</v>
      </c>
      <c r="D89" s="3090" t="s">
        <v>2686</v>
      </c>
      <c r="E89" s="3116">
        <v>0.1</v>
      </c>
      <c r="F89" s="3116">
        <v>15</v>
      </c>
    </row>
    <row r="90" spans="1:6" ht="13.5">
      <c r="A90" s="3116">
        <v>18</v>
      </c>
      <c r="B90" s="3795" t="s">
        <v>2687</v>
      </c>
      <c r="C90" s="3090" t="s">
        <v>2688</v>
      </c>
      <c r="D90" s="3090" t="s">
        <v>2689</v>
      </c>
      <c r="E90" s="3116">
        <v>0.2</v>
      </c>
      <c r="F90" s="3116">
        <v>25</v>
      </c>
    </row>
    <row r="91" spans="1:6" ht="24">
      <c r="A91" s="3116">
        <v>19</v>
      </c>
      <c r="B91" s="3797"/>
      <c r="C91" s="3090" t="s">
        <v>2690</v>
      </c>
      <c r="D91" s="3090" t="s">
        <v>2691</v>
      </c>
      <c r="E91" s="3116">
        <v>0.2</v>
      </c>
      <c r="F91" s="3116">
        <v>25</v>
      </c>
    </row>
    <row r="92" spans="1:6" ht="13.5">
      <c r="A92" s="3116">
        <v>20</v>
      </c>
      <c r="B92" s="3797"/>
      <c r="C92" s="3090" t="s">
        <v>2692</v>
      </c>
      <c r="D92" s="3090" t="s">
        <v>2693</v>
      </c>
      <c r="E92" s="3116">
        <v>0.15</v>
      </c>
      <c r="F92" s="3116">
        <v>20</v>
      </c>
    </row>
    <row r="93" spans="1:6" ht="13.5">
      <c r="A93" s="3116">
        <v>21</v>
      </c>
      <c r="B93" s="3797"/>
      <c r="C93" s="3090" t="s">
        <v>2694</v>
      </c>
      <c r="D93" s="3090" t="s">
        <v>2695</v>
      </c>
      <c r="E93" s="3116">
        <v>0.15</v>
      </c>
      <c r="F93" s="3116">
        <v>20</v>
      </c>
    </row>
    <row r="94" spans="1:6" ht="13.5">
      <c r="A94" s="3116">
        <v>22</v>
      </c>
      <c r="B94" s="3797"/>
      <c r="C94" s="3090" t="s">
        <v>2696</v>
      </c>
      <c r="D94" s="3090" t="s">
        <v>2697</v>
      </c>
      <c r="E94" s="3116">
        <v>0.15</v>
      </c>
      <c r="F94" s="3116">
        <v>20</v>
      </c>
    </row>
    <row r="95" spans="1:6" ht="36">
      <c r="A95" s="3116">
        <v>23</v>
      </c>
      <c r="B95" s="3797"/>
      <c r="C95" s="3090" t="s">
        <v>2698</v>
      </c>
      <c r="D95" s="3090" t="s">
        <v>2699</v>
      </c>
      <c r="E95" s="3116">
        <v>0.15</v>
      </c>
      <c r="F95" s="3116">
        <v>20</v>
      </c>
    </row>
    <row r="96" spans="1:6" ht="13.5">
      <c r="A96" s="3116">
        <v>24</v>
      </c>
      <c r="B96" s="3797"/>
      <c r="C96" s="3090" t="s">
        <v>2700</v>
      </c>
      <c r="D96" s="3090" t="s">
        <v>2701</v>
      </c>
      <c r="E96" s="3116">
        <v>0.1</v>
      </c>
      <c r="F96" s="3116">
        <v>15</v>
      </c>
    </row>
    <row r="97" spans="1:6" ht="13.5">
      <c r="A97" s="3116">
        <v>25</v>
      </c>
      <c r="B97" s="3797"/>
      <c r="C97" s="3090" t="s">
        <v>2702</v>
      </c>
      <c r="D97" s="3090" t="s">
        <v>2703</v>
      </c>
      <c r="E97" s="3116">
        <v>0.1</v>
      </c>
      <c r="F97" s="3116">
        <v>15</v>
      </c>
    </row>
    <row r="98" spans="1:6" ht="24">
      <c r="A98" s="3116">
        <v>26</v>
      </c>
      <c r="B98" s="3797"/>
      <c r="C98" s="3090" t="s">
        <v>2704</v>
      </c>
      <c r="D98" s="3090" t="s">
        <v>2705</v>
      </c>
      <c r="E98" s="3116">
        <v>0.1</v>
      </c>
      <c r="F98" s="3116">
        <v>15</v>
      </c>
    </row>
    <row r="99" spans="1:6" ht="24">
      <c r="A99" s="3116">
        <v>27</v>
      </c>
      <c r="B99" s="3797"/>
      <c r="C99" s="3090" t="s">
        <v>2706</v>
      </c>
      <c r="D99" s="3090" t="s">
        <v>2707</v>
      </c>
      <c r="E99" s="3116">
        <v>0.1</v>
      </c>
      <c r="F99" s="3116">
        <v>15</v>
      </c>
    </row>
    <row r="100" spans="1:6" ht="13.5">
      <c r="A100" s="3116">
        <v>28</v>
      </c>
      <c r="B100" s="3797"/>
      <c r="C100" s="3090" t="s">
        <v>2708</v>
      </c>
      <c r="D100" s="3090" t="s">
        <v>2709</v>
      </c>
      <c r="E100" s="3116">
        <v>0.1</v>
      </c>
      <c r="F100" s="3116">
        <v>15</v>
      </c>
    </row>
    <row r="101" spans="1:6" ht="13.5">
      <c r="A101" s="3116">
        <v>29</v>
      </c>
      <c r="B101" s="3797"/>
      <c r="C101" s="3090" t="s">
        <v>2710</v>
      </c>
      <c r="D101" s="3090" t="s">
        <v>2711</v>
      </c>
      <c r="E101" s="3116">
        <v>0.1</v>
      </c>
      <c r="F101" s="3116">
        <v>15</v>
      </c>
    </row>
    <row r="102" spans="1:6" ht="13.5">
      <c r="A102" s="3116">
        <v>30</v>
      </c>
      <c r="B102" s="3797"/>
      <c r="C102" s="3090" t="s">
        <v>2712</v>
      </c>
      <c r="D102" s="3090" t="s">
        <v>2713</v>
      </c>
      <c r="E102" s="3116">
        <v>0.1</v>
      </c>
      <c r="F102" s="3116">
        <v>15</v>
      </c>
    </row>
    <row r="103" spans="1:6" ht="24">
      <c r="A103" s="3116">
        <v>31</v>
      </c>
      <c r="B103" s="3797"/>
      <c r="C103" s="3090" t="s">
        <v>2714</v>
      </c>
      <c r="D103" s="3090" t="s">
        <v>2715</v>
      </c>
      <c r="E103" s="3116">
        <v>0.1</v>
      </c>
      <c r="F103" s="3116">
        <v>15</v>
      </c>
    </row>
    <row r="104" spans="1:6" ht="24">
      <c r="A104" s="3116">
        <v>32</v>
      </c>
      <c r="B104" s="3797"/>
      <c r="C104" s="3090" t="s">
        <v>2716</v>
      </c>
      <c r="D104" s="3090" t="s">
        <v>2717</v>
      </c>
      <c r="E104" s="3116">
        <v>0.1</v>
      </c>
      <c r="F104" s="3116">
        <v>15</v>
      </c>
    </row>
    <row r="105" spans="1:6" ht="24">
      <c r="A105" s="3116">
        <v>33</v>
      </c>
      <c r="B105" s="3797"/>
      <c r="C105" s="3090" t="s">
        <v>2718</v>
      </c>
      <c r="D105" s="3090" t="s">
        <v>2719</v>
      </c>
      <c r="E105" s="3116">
        <v>0.1</v>
      </c>
      <c r="F105" s="3116">
        <v>15</v>
      </c>
    </row>
    <row r="106" spans="1:6" ht="24">
      <c r="A106" s="3116">
        <v>34</v>
      </c>
      <c r="B106" s="3796"/>
      <c r="C106" s="3090" t="s">
        <v>2720</v>
      </c>
      <c r="D106" s="3090" t="s">
        <v>2721</v>
      </c>
      <c r="E106" s="3116">
        <v>0.1</v>
      </c>
      <c r="F106" s="3116">
        <v>15</v>
      </c>
    </row>
    <row r="107" spans="1:6" ht="24">
      <c r="A107" s="3116">
        <v>35</v>
      </c>
      <c r="B107" s="3795" t="s">
        <v>2722</v>
      </c>
      <c r="C107" s="3116" t="s">
        <v>2723</v>
      </c>
      <c r="D107" s="3090" t="s">
        <v>2724</v>
      </c>
      <c r="E107" s="3116">
        <v>0.15</v>
      </c>
      <c r="F107" s="3116">
        <v>20</v>
      </c>
    </row>
    <row r="108" spans="1:6" ht="13.5">
      <c r="A108" s="3116">
        <v>36</v>
      </c>
      <c r="B108" s="3797"/>
      <c r="C108" s="3116" t="s">
        <v>2725</v>
      </c>
      <c r="D108" s="3090" t="s">
        <v>2726</v>
      </c>
      <c r="E108" s="3116">
        <v>0.15</v>
      </c>
      <c r="F108" s="3116">
        <v>20</v>
      </c>
    </row>
    <row r="109" spans="1:6" ht="13.5">
      <c r="A109" s="3116">
        <v>37</v>
      </c>
      <c r="B109" s="3797"/>
      <c r="C109" s="3116" t="s">
        <v>2727</v>
      </c>
      <c r="D109" s="3090" t="s">
        <v>2728</v>
      </c>
      <c r="E109" s="3116">
        <v>0.15</v>
      </c>
      <c r="F109" s="3116">
        <v>20</v>
      </c>
    </row>
    <row r="110" spans="1:6" ht="13.5">
      <c r="A110" s="3116">
        <v>38</v>
      </c>
      <c r="B110" s="3797"/>
      <c r="C110" s="3116" t="s">
        <v>2729</v>
      </c>
      <c r="D110" s="3090" t="s">
        <v>2730</v>
      </c>
      <c r="E110" s="3116">
        <v>0.1</v>
      </c>
      <c r="F110" s="3116">
        <v>15</v>
      </c>
    </row>
    <row r="111" spans="1:6" ht="24">
      <c r="A111" s="3116">
        <v>39</v>
      </c>
      <c r="B111" s="3797"/>
      <c r="C111" s="3116" t="s">
        <v>2731</v>
      </c>
      <c r="D111" s="3090" t="s">
        <v>2732</v>
      </c>
      <c r="E111" s="3116">
        <v>0.1</v>
      </c>
      <c r="F111" s="3116">
        <v>15</v>
      </c>
    </row>
    <row r="112" spans="1:6" ht="24">
      <c r="A112" s="3116">
        <v>40</v>
      </c>
      <c r="B112" s="3796"/>
      <c r="C112" s="3116" t="s">
        <v>2733</v>
      </c>
      <c r="D112" s="3090" t="s">
        <v>2734</v>
      </c>
      <c r="E112" s="3116">
        <v>0.1</v>
      </c>
      <c r="F112" s="3116">
        <v>15</v>
      </c>
    </row>
    <row r="113" spans="1:6" ht="13.5">
      <c r="A113" s="3116">
        <v>41</v>
      </c>
      <c r="B113" s="3794" t="s">
        <v>2735</v>
      </c>
      <c r="C113" s="3116" t="s">
        <v>2736</v>
      </c>
      <c r="D113" s="3090" t="s">
        <v>2737</v>
      </c>
      <c r="E113" s="3116">
        <v>0.1</v>
      </c>
      <c r="F113" s="3116">
        <v>15</v>
      </c>
    </row>
    <row r="114" spans="1:6" ht="13.5">
      <c r="A114" s="3116">
        <v>42</v>
      </c>
      <c r="B114" s="3794"/>
      <c r="C114" s="3116" t="s">
        <v>2738</v>
      </c>
      <c r="D114" s="3090" t="s">
        <v>2739</v>
      </c>
      <c r="E114" s="3116">
        <v>0.1</v>
      </c>
      <c r="F114" s="3116">
        <v>15</v>
      </c>
    </row>
    <row r="115" spans="1:6" ht="24">
      <c r="A115" s="3116">
        <v>43</v>
      </c>
      <c r="B115" s="3794"/>
      <c r="C115" s="3116" t="s">
        <v>2740</v>
      </c>
      <c r="D115" s="3090" t="s">
        <v>2741</v>
      </c>
      <c r="E115" s="3116">
        <v>0.1</v>
      </c>
      <c r="F115" s="3116">
        <v>15</v>
      </c>
    </row>
    <row r="116" spans="1:6" ht="13.5">
      <c r="A116" s="3116">
        <v>44</v>
      </c>
      <c r="B116" s="3795" t="s">
        <v>2742</v>
      </c>
      <c r="C116" s="3116" t="s">
        <v>2743</v>
      </c>
      <c r="D116" s="3090" t="s">
        <v>2744</v>
      </c>
      <c r="E116" s="3116">
        <v>0.1</v>
      </c>
      <c r="F116" s="3116">
        <v>15</v>
      </c>
    </row>
    <row r="117" spans="1:6" ht="24">
      <c r="A117" s="3116">
        <v>45</v>
      </c>
      <c r="B117" s="3796"/>
      <c r="C117" s="3090" t="s">
        <v>2745</v>
      </c>
      <c r="D117" s="3090" t="s">
        <v>2746</v>
      </c>
      <c r="E117" s="3116">
        <v>0.1</v>
      </c>
      <c r="F117" s="3116">
        <v>15</v>
      </c>
    </row>
    <row r="118" spans="1:6" ht="24">
      <c r="A118" s="3116">
        <v>46</v>
      </c>
      <c r="B118" s="3795" t="s">
        <v>2747</v>
      </c>
      <c r="C118" s="3116" t="s">
        <v>2748</v>
      </c>
      <c r="D118" s="3090" t="s">
        <v>2749</v>
      </c>
      <c r="E118" s="3116">
        <v>0.1</v>
      </c>
      <c r="F118" s="3116">
        <v>15</v>
      </c>
    </row>
    <row r="119" spans="1:6" ht="24">
      <c r="A119" s="3116">
        <v>47</v>
      </c>
      <c r="B119" s="3796"/>
      <c r="C119" s="3116" t="s">
        <v>2750</v>
      </c>
      <c r="D119" s="3090" t="s">
        <v>2751</v>
      </c>
      <c r="E119" s="3116">
        <v>0.1</v>
      </c>
      <c r="F119" s="3116">
        <v>15</v>
      </c>
    </row>
    <row r="120" spans="1:6" ht="13.5">
      <c r="A120" s="3116">
        <v>48</v>
      </c>
      <c r="B120" s="3795" t="s">
        <v>2752</v>
      </c>
      <c r="C120" s="3116" t="s">
        <v>2753</v>
      </c>
      <c r="D120" s="3090" t="s">
        <v>2754</v>
      </c>
      <c r="E120" s="3116">
        <v>0.1</v>
      </c>
      <c r="F120" s="3116">
        <v>15</v>
      </c>
    </row>
    <row r="121" spans="1:6" ht="13.5">
      <c r="A121" s="3116">
        <v>49</v>
      </c>
      <c r="B121" s="3796"/>
      <c r="C121" s="3116" t="s">
        <v>2755</v>
      </c>
      <c r="D121" s="3090" t="s">
        <v>2756</v>
      </c>
      <c r="E121" s="3116">
        <v>0.1</v>
      </c>
      <c r="F121" s="3116">
        <v>15</v>
      </c>
    </row>
    <row r="122" spans="1:6" ht="24">
      <c r="A122" s="3116">
        <v>50</v>
      </c>
      <c r="B122" s="3794" t="s">
        <v>2757</v>
      </c>
      <c r="C122" s="3116" t="s">
        <v>2758</v>
      </c>
      <c r="D122" s="3090" t="s">
        <v>2759</v>
      </c>
      <c r="E122" s="3116">
        <v>0.1</v>
      </c>
      <c r="F122" s="3116">
        <v>15</v>
      </c>
    </row>
    <row r="123" spans="1:6" ht="24">
      <c r="A123" s="3116">
        <v>51</v>
      </c>
      <c r="B123" s="3794"/>
      <c r="C123" s="3116" t="s">
        <v>2760</v>
      </c>
      <c r="D123" s="3090" t="s">
        <v>2761</v>
      </c>
      <c r="E123" s="3116">
        <v>0.1</v>
      </c>
      <c r="F123" s="3116">
        <v>15</v>
      </c>
    </row>
    <row r="124" spans="1:6" ht="24">
      <c r="A124" s="3116">
        <v>52</v>
      </c>
      <c r="B124" s="3794" t="s">
        <v>2762</v>
      </c>
      <c r="C124" s="3116" t="s">
        <v>2763</v>
      </c>
      <c r="D124" s="3090" t="s">
        <v>2764</v>
      </c>
      <c r="E124" s="3116">
        <v>0.1</v>
      </c>
      <c r="F124" s="3116">
        <v>15</v>
      </c>
    </row>
    <row r="125" spans="1:6" ht="24">
      <c r="A125" s="3116">
        <v>53</v>
      </c>
      <c r="B125" s="3794"/>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4" t="s">
        <v>2770</v>
      </c>
      <c r="C127" s="3116" t="s">
        <v>2771</v>
      </c>
      <c r="D127" s="3090" t="s">
        <v>2772</v>
      </c>
      <c r="E127" s="3116">
        <v>0.1</v>
      </c>
      <c r="F127" s="3116">
        <v>15</v>
      </c>
    </row>
    <row r="128" spans="1:6" ht="13.5">
      <c r="A128" s="3116">
        <v>56</v>
      </c>
      <c r="B128" s="3794"/>
      <c r="C128" s="3116" t="s">
        <v>2773</v>
      </c>
      <c r="D128" s="3090" t="s">
        <v>2774</v>
      </c>
      <c r="E128" s="3116">
        <v>0.1</v>
      </c>
      <c r="F128" s="3116">
        <v>15</v>
      </c>
    </row>
    <row r="129" spans="1:6" ht="24">
      <c r="A129" s="3116">
        <v>57</v>
      </c>
      <c r="B129" s="3794"/>
      <c r="C129" s="3116" t="s">
        <v>2775</v>
      </c>
      <c r="D129" s="3090" t="s">
        <v>2776</v>
      </c>
      <c r="E129" s="3116">
        <v>0.1</v>
      </c>
      <c r="F129" s="3116">
        <v>15</v>
      </c>
    </row>
    <row r="130" spans="1:6" ht="24">
      <c r="A130" s="3116">
        <v>58</v>
      </c>
      <c r="B130" s="3794" t="s">
        <v>2777</v>
      </c>
      <c r="C130" s="3116" t="s">
        <v>2778</v>
      </c>
      <c r="D130" s="3090" t="s">
        <v>2779</v>
      </c>
      <c r="E130" s="3116">
        <v>0.1</v>
      </c>
      <c r="F130" s="3116">
        <v>15</v>
      </c>
    </row>
    <row r="131" spans="1:6" ht="13.5">
      <c r="A131" s="3116">
        <v>59</v>
      </c>
      <c r="B131" s="3794"/>
      <c r="C131" s="3116" t="s">
        <v>2780</v>
      </c>
      <c r="D131" s="3090" t="s">
        <v>2781</v>
      </c>
      <c r="E131" s="3116">
        <v>0.1</v>
      </c>
      <c r="F131" s="3116">
        <v>15</v>
      </c>
    </row>
    <row r="132" spans="1:6" ht="13.5">
      <c r="A132" s="3116">
        <v>60</v>
      </c>
      <c r="B132" s="3795" t="s">
        <v>2782</v>
      </c>
      <c r="C132" s="3116" t="s">
        <v>2783</v>
      </c>
      <c r="D132" s="3090" t="s">
        <v>2784</v>
      </c>
      <c r="E132" s="3116">
        <v>0.1</v>
      </c>
      <c r="F132" s="3116">
        <v>15</v>
      </c>
    </row>
    <row r="133" spans="1:6" ht="13.5">
      <c r="A133" s="3116">
        <v>61</v>
      </c>
      <c r="B133" s="3796"/>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4" t="s">
        <v>2790</v>
      </c>
      <c r="C135" s="3116" t="s">
        <v>2791</v>
      </c>
      <c r="D135" s="3090" t="s">
        <v>2792</v>
      </c>
      <c r="E135" s="3116">
        <v>0.1</v>
      </c>
      <c r="F135" s="3116">
        <v>15</v>
      </c>
    </row>
    <row r="136" spans="1:6" ht="13.5">
      <c r="A136" s="3116">
        <v>64</v>
      </c>
      <c r="B136" s="3794"/>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1444</v>
      </c>
      <c r="E5" s="1491"/>
    </row>
    <row r="6" spans="1:5" ht="15.75">
      <c r="A6" s="1491"/>
      <c r="B6" s="3487"/>
      <c r="C6" s="1494" t="s">
        <v>911</v>
      </c>
      <c r="D6" s="850" t="str">
        <f ca="1">NUMBERSTRING(INT(D5*10000),2)&amp;"元整"</f>
        <v>壹仟肆佰肆拾肆万元整</v>
      </c>
      <c r="E6" s="1491"/>
    </row>
    <row r="7" spans="1:5" ht="15.75">
      <c r="A7" s="1491"/>
      <c r="B7" s="3492"/>
      <c r="C7" s="1495" t="s">
        <v>912</v>
      </c>
      <c r="D7" s="851">
        <f ca="1">结果表!H102</f>
        <v>9246</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1444</v>
      </c>
      <c r="E13" s="1491"/>
    </row>
    <row r="14" spans="1:5" ht="15.75">
      <c r="A14" s="1491"/>
      <c r="B14" s="3487"/>
      <c r="C14" s="1494" t="s">
        <v>911</v>
      </c>
      <c r="D14" s="850" t="str">
        <f ca="1">NUMBERSTRING(INT(D13*10000),2)&amp;"元整"</f>
        <v>壹仟肆佰肆拾肆万元整</v>
      </c>
      <c r="E14" s="1491"/>
    </row>
    <row r="15" spans="1:5" ht="15">
      <c r="A15" s="1491"/>
      <c r="B15" s="3492"/>
      <c r="C15" s="1495" t="s">
        <v>921</v>
      </c>
      <c r="D15" s="859">
        <f ca="1">结果表!H108</f>
        <v>9246</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26254</v>
      </c>
      <c r="C2" s="2" t="s">
        <v>106</v>
      </c>
      <c r="D2" s="199"/>
      <c r="E2" s="199"/>
      <c r="F2" s="199"/>
      <c r="G2" s="199"/>
    </row>
    <row r="3" spans="1:7" s="200" customFormat="1" ht="18" customHeight="1" thickBot="1">
      <c r="A3" s="203" t="s">
        <v>58</v>
      </c>
      <c r="B3" s="204">
        <f ca="1">ROUND(B2*10000/'数据-汇总表'!E3,0)</f>
        <v>168054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2.9999999999999997E-4</v>
      </c>
      <c r="D44" s="238"/>
      <c r="E44" s="238"/>
      <c r="F44" s="239"/>
      <c r="G44" s="3670"/>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449</v>
      </c>
      <c r="D51" s="232"/>
      <c r="E51" s="232"/>
      <c r="F51" s="264"/>
      <c r="G51" s="234" t="s">
        <v>37</v>
      </c>
    </row>
    <row r="52" spans="1:7" s="208" customFormat="1" ht="16.5" thickBot="1">
      <c r="A52" s="265" t="s">
        <v>38</v>
      </c>
      <c r="B52" s="266"/>
      <c r="C52" s="267">
        <f ca="1">C31+C51</f>
        <v>26254</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8" t="s">
        <v>2840</v>
      </c>
      <c r="B1" s="3808"/>
      <c r="C1" s="3808"/>
      <c r="D1" s="3808"/>
      <c r="E1" s="3808"/>
      <c r="F1" s="3808"/>
      <c r="G1" s="380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70"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3182</v>
      </c>
      <c r="B1" s="381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1" t="s">
        <v>3233</v>
      </c>
      <c r="B1" s="3811"/>
      <c r="C1" s="3811"/>
      <c r="D1" s="3811"/>
      <c r="E1" s="3811"/>
      <c r="F1" s="381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3" t="s">
        <v>2828</v>
      </c>
      <c r="S23" s="3814"/>
      <c r="T23" s="3814"/>
      <c r="U23" s="3814"/>
      <c r="V23" s="3814"/>
      <c r="W23" s="3814"/>
      <c r="X23" s="3163"/>
      <c r="Y23" s="3813" t="s">
        <v>2829</v>
      </c>
      <c r="Z23" s="3814"/>
      <c r="AA23" s="3814"/>
      <c r="AB23" s="3814"/>
      <c r="AC23" s="3814"/>
      <c r="AD23" s="3814"/>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9246</v>
      </c>
      <c r="G19" s="3467">
        <f ca="1">典型户型修正!T24</f>
        <v>10962520</v>
      </c>
    </row>
    <row r="20" spans="4:7" ht="14.25" thickBot="1">
      <c r="D20" s="3466" t="str">
        <f>'数据-基础表'!C14</f>
        <v>1层</v>
      </c>
      <c r="E20" s="3467">
        <f>'数据-基础表'!I14</f>
        <v>101.85</v>
      </c>
      <c r="F20" s="3467">
        <f ca="1">典型户型修正!R25</f>
        <v>9801</v>
      </c>
      <c r="G20" s="3467">
        <f ca="1">典型户型修正!T25</f>
        <v>998232</v>
      </c>
    </row>
    <row r="21" spans="4:7" ht="14.25" thickBot="1">
      <c r="D21" s="3466" t="str">
        <f>'数据-基础表'!C15</f>
        <v>1层</v>
      </c>
      <c r="E21" s="3467">
        <f>'数据-基础表'!I15</f>
        <v>117.94</v>
      </c>
      <c r="F21" s="3467">
        <f ca="1">典型户型修正!R26</f>
        <v>9801</v>
      </c>
      <c r="G21" s="3467">
        <f ca="1">典型户型修正!T26</f>
        <v>1155930</v>
      </c>
    </row>
    <row r="22" spans="4:7" ht="14.25" thickBot="1">
      <c r="D22" s="3466" t="str">
        <f>'数据-基础表'!C16</f>
        <v>1层</v>
      </c>
      <c r="E22" s="3467">
        <f>'数据-基础表'!I16</f>
        <v>156.80000000000001</v>
      </c>
      <c r="F22" s="3467">
        <f ca="1">典型户型修正!R27</f>
        <v>9801</v>
      </c>
      <c r="G22" s="3467">
        <f ca="1">典型户型修正!T27</f>
        <v>1536797</v>
      </c>
    </row>
    <row r="23" spans="4:7" ht="14.25" thickBot="1">
      <c r="D23" s="3466">
        <f>'数据-基础表'!C17</f>
        <v>0</v>
      </c>
      <c r="E23" s="3467">
        <f>'数据-基础表'!I17</f>
        <v>0</v>
      </c>
      <c r="F23" s="3467">
        <f ca="1">典型户型修正!R28</f>
        <v>9986</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917</v>
      </c>
      <c r="E4" s="854">
        <f ca="1">结果表!E118</f>
        <v>5871</v>
      </c>
      <c r="F4" s="854">
        <f ca="1">结果表!F118</f>
        <v>527</v>
      </c>
      <c r="G4" s="854">
        <f ca="1">结果表!G118</f>
        <v>3375</v>
      </c>
      <c r="H4" s="854">
        <f ca="1">结果表!H118</f>
        <v>1444</v>
      </c>
      <c r="I4" s="854">
        <f ca="1">结果表!I118</f>
        <v>9246</v>
      </c>
    </row>
    <row r="5" spans="1:9" ht="30" customHeight="1">
      <c r="A5" s="3499" t="s">
        <v>927</v>
      </c>
      <c r="B5" s="3499"/>
      <c r="C5" s="3499"/>
      <c r="D5" s="3499" t="str">
        <f ca="1">结果表!D119</f>
        <v>玖佰壹拾柒万元整</v>
      </c>
      <c r="E5" s="3499"/>
      <c r="F5" s="3499" t="str">
        <f ca="1">结果表!F119</f>
        <v>伍佰贰拾柒万元整</v>
      </c>
      <c r="G5" s="3499"/>
      <c r="H5" s="3499" t="str">
        <f ca="1">结果表!H119</f>
        <v>壹仟肆佰肆拾肆万元整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1444</v>
      </c>
      <c r="E8" s="3498"/>
      <c r="F8" s="3498"/>
      <c r="G8" s="3498"/>
      <c r="H8" s="3498"/>
      <c r="I8" s="3498"/>
    </row>
    <row r="9" spans="1:9" ht="15">
      <c r="A9" s="3499" t="s">
        <v>927</v>
      </c>
      <c r="B9" s="3499"/>
      <c r="C9" s="3499"/>
      <c r="D9" s="3499" t="str">
        <f ca="1">结果表!D123</f>
        <v>壹仟肆佰肆拾肆万元整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（1）根据估价对象《房屋所有权证》原件、《国有土地使用权》——，截至价值时点，估价对象抵押权未见登记。</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2024-01-04T08:49:23Z</dcterms:modified>
</cp:coreProperties>
</file>