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<sst xmlns="http://schemas.openxmlformats.org/spreadsheetml/2006/main" count="7036" uniqueCount="2540">
  <si>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</si>
  <si>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</si>
  <si>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</si>
  <si>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</si>
  <si>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</si>
  <si>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</si>
  <si>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</si>
  <si>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</si>
  <si>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</si>
  <si>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</si>
  <si>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</si>
  <si>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</si>
  <si>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</si>
  <si>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</si>
  <si>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</si>
  <si>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</si>
  <si>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</si>
  <si>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</si>
  <si>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</si>
  <si>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</si>
  <si>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</si>
  <si>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</si>
  <si>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</si>
  <si>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</si>
  <si>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</si>
  <si>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</si>
  <si>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</si>
  <si>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</si>
  <si>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</si>
  <si>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</si>
  <si>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</si>
  <si>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</si>
  <si>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</si>
  <si>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</si>
  <si>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</si>
  <si>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</si>
  <si>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</si>
  <si>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</si>
  <si>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</si>
  <si>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</si>
  <si>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</si>
  <si>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</si>
  <si>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</si>
  <si>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</si>
  <si>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</si>
  <si>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</si>
  <si>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</si>
  <si>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</si>
  <si>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</si>
  <si>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</si>
  <si>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</si>
  <si>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</si>
  <si>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</si>
  <si>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</si>
  <si>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</si>
  <si>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</si>
  <si>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</si>
  <si>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</si>
  <si>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</si>
  <si>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</si>
  <si>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</si>
  <si>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</si>
  <si>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</si>
  <si>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</si>
  <si>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</si>
  <si>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</si>
  <si>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</si>
  <si>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</si>
  <si>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</si>
  <si>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</si>
  <si>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</si>
  <si>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</si>
  <si>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</si>
  <si>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</si>
  <si>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</si>
  <si>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</si>
  <si>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</si>
  <si>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</si>
  <si>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</si>
  <si>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</si>
  <si>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</si>
  <si>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</si>
  <si>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</si>
  <si>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</si>
  <si>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</si>
  <si>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</si>
  <si>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</si>
  <si>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</si>
  <si>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</si>
  <si>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</si>
  <si>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</si>
  <si>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</si>
  <si>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</si>
  <si>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</si>
  <si>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</si>
  <si>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</si>
  <si>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</si>
  <si>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</si>
  <si>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</si>
  <si>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</si>
  <si>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</si>
  <si>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</si>
  <si>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</si>
  <si>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</si>
  <si>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</si>
  <si>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</si>
  <si>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</si>
  <si>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</si>
  <si>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</si>
  <si>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</si>
  <si>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</si>
  <si>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</si>
  <si>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</si>
  <si>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</si>
  <si>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</si>
  <si>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</si>
  <si>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</si>
  <si>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</si>
  <si>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</si>
  <si>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</si>
  <si>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</si>
  <si>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</si>
  <si>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</si>
  <si>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</si>
  <si>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</si>
  <si>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</si>
  <si>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</si>
  <si>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</si>
  <si>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</si>
  <si>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</si>
  <si>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</si>
  <si>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</si>
  <si>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</si>
  <si>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</si>
  <si>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</si>
  <si>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</si>
  <si>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</si>
  <si>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</si>
  <si>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</si>
  <si>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</si>
  <si>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</si>
  <si>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</si>
  <si>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</si>
  <si>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</si>
  <si>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</si>
  <si>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</si>
  <si>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</si>
  <si>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</si>
  <si>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</si>
  <si>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</si>
  <si>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</si>
  <si>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</si>
  <si>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</si>
  <si>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</si>
  <si>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</si>
  <si>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</si>
  <si>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</si>
  <si>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</si>
  <si>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</si>
  <si>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</si>
  <si>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</si>
  <si>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</si>
  <si>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</si>
  <si>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</si>
  <si>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</si>
  <si>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</si>
  <si>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</si>
  <si>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</si>
  <si>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</si>
  <si>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</si>
  <si>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</si>
  <si>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</si>
  <si>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</si>
  <si>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</si>
  <si>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</si>
  <si>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</si>
  <si>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</si>
  <si>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</si>
  <si>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</si>
  <si>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</si>
  <si>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</si>
  <si>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</si>
  <si>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</si>
  <si>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</si>
  <si>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</si>
  <si>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</si>
  <si>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</si>
  <si>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</si>
  <si>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</si>
  <si>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</si>
  <si>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</si>
  <si>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</si>
  <si>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</si>
  <si>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</si>
  <si>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</si>
  <si>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</si>
  <si>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</si>
  <si>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</si>
  <si>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</si>
  <si>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</si>
  <si>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</si>
  <si>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</si>
  <si>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</si>
  <si>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</si>
  <si>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</si>
  <si>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</si>
  <si>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</si>
  <si>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</si>
  <si>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</si>
  <si>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</si>
  <si>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</si>
  <si>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</si>
  <si>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</si>
  <si>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</si>
  <si>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</si>
  <si>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</si>
  <si>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</si>
  <si>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</si>
  <si>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</si>
  <si>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</si>
  <si>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</si>
  <si>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</si>
  <si>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</si>
  <si>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</si>
  <si>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</si>
  <si>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</si>
  <si>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</si>
  <si>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</si>
  <si>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</si>
  <si>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</si>
  <si>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</si>
  <si>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</si>
  <si>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</si>
  <si>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</si>
  <si>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</si>
  <si>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</si>
  <si>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</si>
  <si>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</si>
  <si>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</si>
  <si>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</si>
  <si>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</si>
  <si>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</si>
  <si>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</si>
  <si>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</si>
  <si>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</si>
  <si>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</si>
  <si>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</si>
  <si>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</si>
  <si>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</si>
  <si>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</si>
  <si>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</si>
  <si>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</si>
  <si>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</si>
  <si>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</si>
  <si>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</si>
  <si>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</si>
  <si>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</si>
  <si>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</si>
  <si>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</si>
  <si>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</si>
  <si>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</si>
  <si>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</si>
  <si>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</si>
  <si>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</si>
  <si>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</si>
  <si>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</si>
  <si>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</si>
  <si>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</si>
  <si>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</si>
  <si>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</si>
  <si>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</si>
  <si>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</si>
  <si>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</si>
  <si>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</si>
  <si>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</si>
  <si>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</si>
  <si>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</si>
  <si>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</si>
  <si>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</si>
  <si>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</si>
  <si>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</si>
  <si>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</si>
  <si>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</si>
  <si>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</si>
  <si>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</si>
  <si>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</si>
  <si>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</si>
  <si>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</si>
  <si>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</si>
  <si>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</si>
  <si>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</si>
  <si>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</si>
  <si>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</si>
  <si>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</si>
  <si>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</si>
  <si>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</si>
  <si>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</si>
  <si>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</si>
  <si>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</si>
  <si>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</si>
  <si>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</si>
  <si>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</si>
  <si>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</si>
  <si>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</si>
  <si>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</si>
  <si>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</si>
  <si>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</si>
  <si>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</si>
  <si>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</si>
  <si>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</si>
  <si>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</si>
  <si>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</si>
  <si>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</si>
  <si>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</si>
  <si>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</si>
  <si>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</si>
  <si>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</si>
  <si>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</si>
  <si>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</si>
  <si>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</si>
  <si>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</si>
  <si>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</si>
  <si>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</si>
  <si>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</si>
  <si>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</si>
  <si>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</si>
  <si>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</si>
  <si>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</si>
  <si>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</si>
  <si>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</si>
  <si>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</si>
  <si>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</si>
  <si>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</si>
  <si>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</si>
  <si>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</si>
  <si>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</si>
  <si>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</si>
  <si>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</si>
  <si>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</si>
  <si>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</si>
  <si>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</si>
  <si>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</si>
  <si>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</si>
  <si>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</si>
  <si>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</si>
  <si>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</si>
  <si>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</si>
  <si>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</si>
  <si>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</si>
  <si>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</si>
  <si>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</si>
  <si>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</si>
  <si>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</si>
  <si>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</si>
  <si>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</si>
  <si>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</si>
  <si>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</si>
  <si>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</si>
  <si>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</si>
  <si>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</si>
  <si>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</si>
  <si>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</si>
  <si>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</si>
  <si>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</si>
  <si>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</si>
  <si>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</si>
  <si>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</si>
  <si>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</si>
  <si>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</si>
  <si>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</si>
  <si>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</si>
  <si>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</si>
  <si>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</si>
  <si>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</si>
  <si>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</si>
  <si>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</si>
  <si>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</si>
  <si>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</si>
  <si>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</si>
  <si>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</si>
  <si>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</si>
  <si>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</si>
  <si>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</si>
  <si>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</si>
  <si>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</si>
  <si>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</si>
  <si>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</si>
  <si>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</si>
  <si>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</si>
  <si>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</si>
  <si>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</si>
  <si>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</si>
  <si>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</si>
  <si>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</si>
  <si>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</si>
  <si>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</si>
  <si>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</si>
  <si>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</si>
  <si>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</si>
  <si>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</si>
  <si>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</si>
  <si>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</si>
  <si>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</si>
  <si>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</si>
  <si>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</si>
  <si>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</si>
  <si>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</si>
  <si>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</si>
  <si>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</si>
  <si>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</si>
  <si>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</si>
  <si>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</si>
  <si>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</si>
  <si>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</si>
  <si>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</si>
  <si>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</si>
  <si>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</si>
  <si>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</si>
  <si>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</si>
  <si>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</si>
  <si>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</si>
  <si>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</si>
  <si>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</si>
  <si>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</si>
  <si>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</si>
  <si>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</si>
  <si>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</si>
  <si>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</si>
  <si>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</si>
  <si>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</si>
  <si>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</si>
  <si>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</si>
  <si>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</si>
  <si>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</si>
  <si>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</si>
  <si>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</si>
  <si>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</si>
  <si>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</si>
  <si>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</si>
  <si>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</si>
  <si>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</si>
  <si>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</si>
  <si>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</si>
  <si>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</si>
  <si>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</si>
  <si>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</si>
  <si>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</si>
  <si>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</si>
  <si>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</si>
  <si>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</si>
  <si>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</si>
  <si>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</si>
  <si>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</si>
  <si>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</si>
  <si>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</si>
  <si>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</si>
  <si>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</si>
  <si>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</si>
  <si>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</si>
  <si>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</si>
  <si>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</si>
  <si>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</si>
  <si>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</si>
  <si>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</si>
  <si>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</si>
  <si>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</si>
  <si>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</si>
  <si>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</si>
  <si>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</si>
  <si>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</si>
  <si>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</si>
  <si>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</si>
  <si>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</si>
  <si>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</si>
  <si>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</si>
  <si>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</si>
  <si>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</si>
  <si>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</si>
  <si>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</si>
  <si>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</si>
  <si>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</si>
  <si>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</si>
  <si>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</si>
  <si>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</si>
  <si>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</si>
  <si>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</si>
  <si>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</si>
  <si>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</si>
  <si>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</si>
  <si>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</si>
  <si>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</si>
  <si>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</si>
  <si>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</si>
  <si>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</si>
  <si>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</si>
  <si>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</si>
  <si>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</si>
  <si>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</si>
  <si>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</si>
  <si>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</si>
  <si>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</si>
  <si>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</si>
  <si>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</si>
  <si>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</si>
  <si>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</si>
  <si>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</si>
  <si>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</si>
  <si>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</si>
  <si>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</si>
  <si>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</si>
  <si>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</si>
  <si>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</si>
  <si>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</si>
  <si>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</si>
  <si>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</si>
  <si>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</si>
  <si>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</si>
  <si>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</si>
  <si>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</si>
  <si>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</si>
  <si>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</si>
  <si>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</si>
  <si>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</si>
  <si>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</si>
  <si>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</si>
  <si>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</si>
  <si>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</si>
  <si>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</si>
  <si>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</si>
  <si>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</si>
  <si>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</si>
  <si>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</si>
  <si>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</si>
  <si>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</si>
  <si>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</si>
  <si>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</si>
  <si>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</si>
  <si>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</si>
  <si>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</si>
  <si>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</si>
  <si>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</si>
  <si>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</si>
  <si>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</si>
  <si>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</si>
  <si>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</si>
  <si>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</si>
  <si>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</si>
  <si>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</si>
  <si>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</si>
  <si>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</si>
  <si>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</si>
  <si>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</si>
  <si>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</si>
  <si>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</si>
  <si>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</si>
  <si>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</si>
  <si>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</si>
  <si>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</si>
  <si>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</si>
  <si>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</si>
  <si>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</si>
  <si>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</si>
  <si>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</si>
  <si>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</si>
  <si>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</si>
  <si>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</si>
  <si>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</si>
  <si>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</si>
  <si>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</si>
  <si>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</si>
  <si>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</si>
  <si>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</si>
  <si>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</si>
  <si>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</si>
  <si>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</si>
  <si>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</si>
  <si>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</si>
  <si>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</si>
  <si>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</si>
  <si>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</si>
  <si>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</si>
  <si>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</si>
  <si>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</si>
  <si>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</si>
  <si>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</si>
  <si>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</si>
  <si>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</si>
  <si>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</si>
  <si>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</si>
  <si>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</si>
  <si>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</si>
  <si>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</si>
  <si>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</si>
  <si>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</si>
  <si>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</si>
  <si>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</si>
  <si>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</si>
  <si>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</si>
  <si>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</si>
  <si>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</si>
  <si>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</si>
  <si>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</si>
  <si>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</si>
  <si>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</si>
  <si>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</si>
  <si>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</si>
  <si>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</si>
  <si>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</si>
  <si>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</si>
  <si>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</si>
  <si>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</si>
  <si>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</si>
  <si>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</si>
  <si>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</si>
  <si>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</si>
  <si>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</si>
  <si>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</si>
  <si>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</si>
  <si>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</si>
  <si>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</si>
  <si>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</si>
  <si>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</si>
  <si>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</si>
  <si>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</si>
  <si>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</si>
  <si>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</si>
  <si>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</si>
  <si>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</si>
  <si>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</si>
  <si>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</si>
  <si>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</si>
  <si>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</si>
  <si>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</si>
  <si>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</si>
  <si>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</si>
  <si>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</si>
  <si>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</si>
  <si>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</si>
  <si>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</si>
  <si>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</si>
  <si>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</si>
  <si>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</si>
  <si>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</si>
  <si>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</si>
  <si>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</si>
  <si>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</si>
  <si>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</si>
  <si>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</si>
  <si>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</si>
  <si>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</si>
  <si>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</si>
  <si>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</si>
  <si>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</si>
  <si>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</si>
  <si>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</si>
  <si>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</si>
  <si>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</si>
  <si>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</si>
  <si>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</si>
  <si>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</si>
  <si>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</si>
  <si>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</si>
  <si>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</si>
  <si>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</si>
  <si>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</si>
  <si>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</si>
  <si>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</si>
  <si>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</si>
  <si>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</si>
  <si>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</si>
  <si>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</si>
  <si>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</si>
  <si>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</si>
  <si>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</si>
  <si>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</si>
  <si>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</si>
  <si>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</si>
  <si>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</si>
  <si>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</si>
  <si>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</si>
  <si>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</si>
  <si>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</si>
  <si>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</si>
  <si>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</si>
  <si>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</si>
  <si>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</si>
  <si>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</si>
  <si>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</si>
  <si>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</si>
  <si>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</si>
  <si>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</si>
  <si>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</si>
  <si>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</si>
  <si>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</si>
  <si>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</si>
  <si>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</si>
  <si>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</si>
  <si>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</si>
  <si>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</si>
  <si>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</si>
  <si>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</si>
  <si>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</si>
  <si>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</si>
  <si>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</si>
  <si>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</si>
  <si>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</si>
  <si>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</si>
  <si>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</si>
  <si>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</si>
  <si>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</si>
  <si>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</si>
  <si>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</si>
  <si>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</si>
  <si>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</si>
  <si>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</si>
  <si>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</si>
  <si>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</si>
  <si>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</si>
  <si>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</si>
  <si>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</si>
  <si>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</si>
  <si>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</si>
  <si>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</si>
  <si>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</si>
  <si>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</si>
  <si>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</si>
  <si>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</si>
  <si>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</si>
  <si>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</si>
  <si>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</si>
  <si>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</si>
  <si>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</si>
  <si>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</si>
  <si>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</si>
  <si>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</si>
  <si>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</si>
  <si>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</si>
  <si>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</si>
  <si>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</si>
  <si>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</si>
  <si>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</si>
  <si>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</si>
  <si>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</si>
  <si>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</si>
  <si>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</si>
  <si>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</si>
  <si>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</si>
  <si>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</si>
  <si>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</si>
  <si>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</si>
  <si>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</si>
  <si>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</si>
  <si>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</si>
  <si>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</si>
  <si>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</si>
  <si>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</si>
  <si>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</si>
  <si>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</si>
  <si>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</si>
  <si>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</si>
  <si>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</si>
  <si>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</si>
  <si>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</si>
  <si>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</si>
  <si>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</si>
  <si>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</si>
  <si>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</si>
  <si>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</si>
  <si>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</si>
  <si>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</si>
  <si>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</si>
  <si>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</si>
  <si>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</si>
  <si>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</si>
  <si>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</si>
  <si>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</si>
  <si>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</si>
  <si>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</si>
  <si>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</si>
  <si>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</si>
  <si>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</si>
  <si>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</si>
  <si>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</si>
  <si>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</si>
  <si>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</si>
  <si>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</si>
  <si>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</si>
  <si>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</si>
  <si>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</si>
  <si>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</si>
  <si>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</si>
  <si>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</si>
  <si>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</si>
  <si>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</si>
  <si>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</si>
  <si>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</si>
  <si>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</si>
  <si>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</si>
  <si>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</si>
  <si>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</si>
  <si>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</si>
  <si>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</si>
  <si>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</si>
  <si>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</si>
  <si>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</si>
  <si>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</si>
  <si>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</si>
  <si>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</si>
  <si>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</si>
  <si>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</si>
  <si>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</si>
  <si>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</si>
  <si>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</si>
  <si>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</si>
  <si>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</si>
  <si>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</si>
  <si>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</si>
  <si>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</si>
  <si>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</si>
  <si>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</si>
  <si>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</si>
  <si>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</si>
  <si>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</si>
  <si>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</si>
  <si>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</si>
  <si>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</si>
  <si>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</si>
  <si>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</si>
  <si>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</si>
  <si>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</si>
  <si>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</si>
  <si>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</si>
  <si>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</si>
  <si>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</si>
  <si>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</si>
  <si>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</si>
  <si>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</si>
  <si>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</si>
  <si>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</si>
  <si>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</si>
  <si>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</si>
  <si>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</si>
  <si>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</si>
  <si>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</si>
  <si>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</si>
  <si>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</si>
  <si>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</si>
  <si>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</si>
  <si>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</si>
  <si>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</si>
  <si>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</si>
  <si>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</si>
  <si>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</si>
  <si>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</si>
  <si>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</si>
  <si>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</si>
  <si>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</si>
  <si>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</si>
  <si>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</si>
  <si>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</si>
  <si>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</si>
  <si>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</si>
  <si>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</si>
  <si>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</si>
  <si>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</si>
  <si>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</si>
  <si>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</si>
  <si>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</si>
  <si>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</si>
  <si>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</si>
  <si>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</si>
  <si>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</si>
  <si>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</si>
  <si>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</si>
  <si>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</si>
  <si>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</si>
  <si>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</si>
  <si>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</si>
  <si>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</si>
  <si>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</si>
  <si>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</si>
  <si>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</si>
  <si>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</si>
  <si>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</si>
  <si>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</si>
  <si>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</si>
  <si>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</si>
  <si>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</si>
  <si>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</si>
  <si>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</si>
  <si>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</si>
  <si>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</si>
  <si>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</si>
  <si>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</si>
  <si>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</si>
  <si>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</si>
  <si>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</si>
  <si>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</si>
  <si>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</si>
  <si>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</si>
  <si>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</si>
  <si>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</si>
  <si>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</si>
  <si>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</si>
  <si>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</si>
  <si>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</si>
  <si>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</si>
  <si>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</si>
  <si>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</si>
  <si>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</si>
  <si>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</si>
  <si>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</si>
  <si>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</si>
  <si>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</si>
  <si>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</si>
  <si>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</si>
  <si>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</si>
  <si>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</si>
  <si>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</si>
  <si>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</si>
  <si>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</si>
  <si>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</si>
  <si>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</si>
  <si>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</si>
  <si>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</si>
  <si>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</si>
  <si>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</si>
  <si>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</si>
  <si>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</si>
  <si>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</si>
  <si>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</si>
  <si>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</si>
  <si>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</si>
  <si>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</si>
  <si>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</si>
  <si>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</si>
  <si>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</si>
  <si>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</si>
  <si>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</si>
  <si>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</si>
  <si>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</si>
  <si>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</si>
  <si>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</si>
  <si>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</si>
  <si>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</si>
  <si>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</si>
  <si>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</si>
  <si>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</si>
  <si>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</si>
  <si>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</si>
  <si>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</si>
  <si>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</si>
  <si>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</si>
  <si>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</si>
  <si>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</si>
  <si>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</si>
  <si>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</si>
  <si>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</si>
  <si>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</si>
  <si>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</si>
  <si>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</si>
  <si>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</si>
  <si>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</si>
  <si>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</si>
  <si>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</si>
  <si>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</si>
  <si>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</si>
  <si>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</si>
  <si>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</si>
  <si>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</si>
  <si>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</si>
  <si>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</si>
  <si>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</si>
  <si>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</si>
  <si>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</si>
  <si>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</si>
  <si>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</si>
  <si>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</si>
  <si>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</si>
  <si>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</si>
  <si>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</si>
  <si>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</si>
  <si>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</si>
  <si>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</si>
  <si>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</si>
  <si>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</si>
  <si>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</si>
  <si>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</si>
  <si>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</si>
  <si>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</si>
  <si>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</si>
  <si>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</si>
  <si>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</si>
  <si>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</si>
  <si>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</si>
  <si>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</si>
  <si>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</si>
  <si>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</si>
  <si>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</si>
  <si>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</si>
  <si>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</si>
  <si>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</si>
  <si>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</si>
  <si>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</si>
  <si>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</si>
  <si>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</si>
  <si>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</si>
  <si>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</si>
  <si>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</si>
  <si>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</si>
  <si>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</si>
  <si>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</si>
  <si>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</si>
  <si>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</si>
  <si>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</si>
  <si>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</si>
  <si>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</si>
  <si>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</si>
  <si>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</si>
  <si>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</si>
  <si>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</si>
  <si>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</si>
  <si>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</si>
  <si>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</si>
  <si>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</si>
  <si>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</si>
  <si>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</si>
  <si>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</si>
  <si>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</si>
  <si>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</si>
  <si>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</si>
  <si>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</si>
  <si>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</si>
  <si>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</si>
  <si>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</si>
  <si>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</si>
  <si>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</si>
  <si>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</si>
  <si>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</si>
  <si>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</si>
  <si>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</si>
  <si>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</si>
  <si>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</si>
  <si>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</si>
  <si>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</si>
  <si>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</si>
  <si>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</si>
  <si>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</si>
  <si>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</si>
  <si>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</si>
  <si>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</si>
  <si>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</si>
  <si>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</si>
  <si>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</si>
  <si>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</si>
  <si>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</si>
  <si>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</si>
  <si>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</si>
  <si>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</si>
  <si>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</si>
  <si>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</si>
  <si>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</si>
  <si>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</si>
  <si>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</si>
  <si>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</si>
  <si>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</si>
  <si>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</si>
  <si>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</si>
  <si>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</si>
  <si>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</si>
  <si>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</si>
  <si>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</si>
  <si>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</si>
  <si>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</si>
  <si>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</si>
  <si>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</si>
  <si>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</si>
  <si>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</si>
  <si>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</si>
  <si>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</si>
  <si>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</si>
  <si>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</si>
  <si>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</si>
  <si>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</si>
  <si>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</si>
  <si>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</si>
  <si>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</si>
  <si>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</si>
  <si>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</si>
  <si>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</si>
  <si>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</si>
  <si>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</si>
  <si>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</si>
  <si>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</si>
  <si>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</si>
  <si>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</si>
  <si>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</si>
  <si>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</si>
  <si>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</si>
  <si>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</si>
  <si>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</si>
  <si>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</si>
  <si>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</si>
  <si>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</si>
  <si>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</si>
  <si>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</si>
  <si>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</si>
  <si>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</si>
  <si>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</si>
  <si>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</si>
  <si>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</si>
  <si>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</si>
  <si>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</si>
  <si>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</si>
  <si>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</si>
  <si>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</si>
  <si>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好</t>
  </si>
  <si>
    <t>一般</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</si>
  <si>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</si>
  <si>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</si>
  <si>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</si>
  <si>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</si>
  <si>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</si>
  <si>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</si>
  <si>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</si>
  <si>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</si>
  <si>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</si>
  <si>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</si>
  <si>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</si>
  <si>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精装</t>
  </si>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</sst>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yyyy&quot;年&quot;m&quot;月&quot;;@"/>
    <numFmt numFmtId="178" formatCode="yyyy/m/d;@"/>
    <numFmt numFmtId="179" formatCode="0_ "/>
    <numFmt numFmtId="180" formatCode="0.00_ "/>
    <numFmt numFmtId="181" formatCode="0_);[Red]\(0\)"/>
    <numFmt numFmtId="182" formatCode="0_ ;[Red]\-0\ "/>
    <numFmt numFmtId="183" formatCode="0.0%"/>
    <numFmt numFmtId="184" formatCode="0.0_ "/>
    <numFmt numFmtId="185" formatCode="[DBNum1][$-804]yyyy&quot;年&quot;m&quot;月&quot;d&quot;日&quot;;@"/>
    <numFmt numFmtId="186" formatCode="0.0000_ "/>
    <numFmt numFmtId="187" formatCode="0.0_);[Red]\(0.0\)"/>
    <numFmt numFmtId="188" formatCode="yyyy&quot;年&quot;m&quot;月&quot;d&quot;日&quot;;@"/>
    <numFmt numFmtId="189" formatCode="0.00_);[Red]\(0.00\)"/>
    <numFmt numFmtId="190" formatCode="0.000_);[Red]\(0.000\)"/>
    <numFmt numFmtId="191" formatCode="0.000%"/>
    <numFmt numFmtId="192" formatCode="0.0000%"/>
    <numFmt numFmtId="193" formatCode="[DBNum2][$-804]General"/>
    <numFmt numFmtId="194" formatCode="[$-F800]dddd\,\ mmmm\ dd\,\ yyyy"/>
    <numFmt numFmtId="195" formatCode="0;_쐀"/>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10"/>
      <name val="宋体"/>
      <charset val="134"/>
    </font>
    <font>
      <sz val="9"/>
      <name val="宋体"/>
      <charset val="134"/>
    </font>
    <font>
      <sz val="11"/>
      <name val="宋体"/>
      <charset val="134"/>
    </font>
    <font>
      <b/>
      <sz val="11"/>
      <name val="宋体"/>
      <charset val="134"/>
    </font>
    <font>
      <sz val="11"/>
      <name val="楷体_GB2312"/>
      <charset val="134"/>
    </font>
    <font>
      <sz val="14"/>
      <name val="楷体_GB2312"/>
      <charset val="134"/>
    </font>
    <font>
      <b/>
      <sz val="9"/>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rgb="FFFF0000"/>
        <bgColor indexed="64"/>
      </patternFill>
    </fill>
    <fill>
      <patternFill patternType="solid">
        <fgColor rgb="FF00B0F0"/>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1" borderId="0" applyNumberFormat="0" applyBorder="0" applyAlignment="0" applyProtection="0">
      <alignment vertical="center"/>
    </xf>
    <xf numFmtId="0" fontId="152"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3"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4" fillId="25" borderId="0" applyNumberFormat="0" applyBorder="0" applyAlignment="0" applyProtection="0">
      <alignment vertical="center"/>
    </xf>
    <xf numFmtId="0" fontId="155" fillId="0" borderId="0" applyNumberFormat="0" applyFill="0" applyBorder="0" applyAlignment="0" applyProtection="0">
      <alignment vertical="center"/>
    </xf>
    <xf numFmtId="9" fontId="118" fillId="0" borderId="0" applyFont="0" applyFill="0" applyBorder="0" applyAlignment="0" applyProtection="0">
      <alignment vertical="center"/>
    </xf>
    <xf numFmtId="0" fontId="156" fillId="0" borderId="0" applyNumberFormat="0" applyFill="0" applyBorder="0" applyAlignment="0" applyProtection="0">
      <alignment vertical="center"/>
    </xf>
    <xf numFmtId="0" fontId="118" fillId="0" borderId="0"/>
    <xf numFmtId="0" fontId="0" fillId="26" borderId="179" applyNumberFormat="0" applyFont="0" applyAlignment="0" applyProtection="0">
      <alignment vertical="center"/>
    </xf>
    <xf numFmtId="0" fontId="154" fillId="27"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1" fillId="0" borderId="0">
      <alignment vertical="center"/>
    </xf>
    <xf numFmtId="0" fontId="121" fillId="0" borderId="0">
      <alignment vertical="center"/>
    </xf>
    <xf numFmtId="0" fontId="161" fillId="0" borderId="180" applyNumberFormat="0" applyFill="0" applyAlignment="0" applyProtection="0">
      <alignment vertical="center"/>
    </xf>
    <xf numFmtId="0" fontId="118" fillId="0" borderId="0"/>
    <xf numFmtId="0" fontId="162" fillId="0" borderId="180" applyNumberFormat="0" applyFill="0" applyAlignment="0" applyProtection="0">
      <alignment vertical="center"/>
    </xf>
    <xf numFmtId="0" fontId="154" fillId="28" borderId="0" applyNumberFormat="0" applyBorder="0" applyAlignment="0" applyProtection="0">
      <alignment vertical="center"/>
    </xf>
    <xf numFmtId="0" fontId="157" fillId="0" borderId="181" applyNumberFormat="0" applyFill="0" applyAlignment="0" applyProtection="0">
      <alignment vertical="center"/>
    </xf>
    <xf numFmtId="0" fontId="154" fillId="29" borderId="0" applyNumberFormat="0" applyBorder="0" applyAlignment="0" applyProtection="0">
      <alignment vertical="center"/>
    </xf>
    <xf numFmtId="0" fontId="163" fillId="30" borderId="182" applyNumberFormat="0" applyAlignment="0" applyProtection="0">
      <alignment vertical="center"/>
    </xf>
    <xf numFmtId="0" fontId="164" fillId="30" borderId="178" applyNumberFormat="0" applyAlignment="0" applyProtection="0">
      <alignment vertical="center"/>
    </xf>
    <xf numFmtId="0" fontId="165" fillId="31" borderId="183" applyNumberFormat="0" applyAlignment="0" applyProtection="0">
      <alignment vertical="center"/>
    </xf>
    <xf numFmtId="0" fontId="151" fillId="32" borderId="0" applyNumberFormat="0" applyBorder="0" applyAlignment="0" applyProtection="0">
      <alignment vertical="center"/>
    </xf>
    <xf numFmtId="0" fontId="154" fillId="33"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4" borderId="0" applyNumberFormat="0" applyBorder="0" applyAlignment="0" applyProtection="0">
      <alignment vertical="center"/>
    </xf>
    <xf numFmtId="0" fontId="118" fillId="0" borderId="0">
      <alignment vertical="center"/>
    </xf>
    <xf numFmtId="0" fontId="169" fillId="35" borderId="0" applyNumberFormat="0" applyBorder="0" applyAlignment="0" applyProtection="0">
      <alignment vertical="center"/>
    </xf>
    <xf numFmtId="0" fontId="121" fillId="0" borderId="0">
      <alignment vertical="center"/>
    </xf>
    <xf numFmtId="0" fontId="151" fillId="36" borderId="0" applyNumberFormat="0" applyBorder="0" applyAlignment="0" applyProtection="0">
      <alignment vertical="center"/>
    </xf>
    <xf numFmtId="0" fontId="154"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4" fillId="42" borderId="0" applyNumberFormat="0" applyBorder="0" applyAlignment="0" applyProtection="0">
      <alignment vertical="center"/>
    </xf>
    <xf numFmtId="0" fontId="118" fillId="0" borderId="0">
      <alignment vertical="center"/>
    </xf>
    <xf numFmtId="0" fontId="154" fillId="43" borderId="0" applyNumberFormat="0" applyBorder="0" applyAlignment="0" applyProtection="0">
      <alignment vertical="center"/>
    </xf>
    <xf numFmtId="0" fontId="151" fillId="44" borderId="0" applyNumberFormat="0" applyBorder="0" applyAlignment="0" applyProtection="0">
      <alignment vertical="center"/>
    </xf>
    <xf numFmtId="0" fontId="151" fillId="45" borderId="0" applyNumberFormat="0" applyBorder="0" applyAlignment="0" applyProtection="0">
      <alignment vertical="center"/>
    </xf>
    <xf numFmtId="0" fontId="154" fillId="46" borderId="0" applyNumberFormat="0" applyBorder="0" applyAlignment="0" applyProtection="0">
      <alignment vertical="center"/>
    </xf>
    <xf numFmtId="0" fontId="118" fillId="0" borderId="0">
      <alignment vertical="center"/>
    </xf>
    <xf numFmtId="0" fontId="151" fillId="4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1" fillId="50" borderId="0" applyNumberFormat="0" applyBorder="0" applyAlignment="0" applyProtection="0">
      <alignment vertical="center"/>
    </xf>
    <xf numFmtId="0" fontId="154" fillId="51" borderId="0" applyNumberFormat="0" applyBorder="0" applyAlignment="0" applyProtection="0">
      <alignment vertical="center"/>
    </xf>
    <xf numFmtId="0" fontId="118" fillId="0" borderId="0">
      <alignment vertical="center"/>
    </xf>
    <xf numFmtId="0" fontId="118" fillId="0" borderId="0"/>
    <xf numFmtId="0" fontId="83" fillId="0" borderId="0"/>
    <xf numFmtId="0" fontId="118" fillId="0" borderId="0">
      <alignment vertical="center"/>
    </xf>
    <xf numFmtId="0" fontId="118"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9"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9"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6"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6" fontId="19" fillId="0" borderId="0" xfId="21" applyNumberFormat="1" applyFont="1" applyAlignment="1">
      <alignment horizontal="left" vertical="center"/>
    </xf>
    <xf numFmtId="176" fontId="19" fillId="0" borderId="19" xfId="21" applyNumberFormat="1" applyFont="1" applyBorder="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77" fontId="41" fillId="2" borderId="61" xfId="0" applyNumberFormat="1" applyFont="1" applyFill="1" applyBorder="1" applyAlignment="1" applyProtection="1">
      <alignment horizontal="center" vertical="center" wrapText="1"/>
    </xf>
    <xf numFmtId="177"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77"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77" fontId="41" fillId="2" borderId="61" xfId="0" applyNumberFormat="1" applyFont="1" applyFill="1" applyBorder="1" applyAlignment="1" applyProtection="1">
      <alignment horizontal="left" vertical="center" wrapText="1"/>
    </xf>
    <xf numFmtId="177"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7"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2"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7"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7" borderId="0" xfId="0" applyNumberFormat="1" applyFont="1" applyFill="1" applyBorder="1" applyAlignment="1" applyProtection="1">
      <alignment horizontal="left" vertical="center" wrapText="1"/>
    </xf>
    <xf numFmtId="193"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4"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118"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118"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8"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4" fontId="128" fillId="0" borderId="7" xfId="60" applyNumberFormat="1" applyFont="1" applyFill="1" applyBorder="1" applyAlignment="1">
      <alignment horizontal="left" vertical="center"/>
    </xf>
    <xf numFmtId="194"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8"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8"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5" fontId="137" fillId="0" borderId="0" xfId="0" applyNumberFormat="1" applyFont="1" applyAlignment="1">
      <alignment vertical="center"/>
    </xf>
    <xf numFmtId="18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5" fillId="0" borderId="0" xfId="0" applyFont="1" applyAlignment="1">
      <alignment vertical="center" wrapText="1"/>
    </xf>
    <xf numFmtId="0" fontId="146"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3"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85" fontId="121"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8436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8965" y="5486400"/>
          <a:ext cx="9462135"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8965" y="10241280"/>
          <a:ext cx="9637395"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7930" y="14996160"/>
          <a:ext cx="6059805"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0140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04355"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5317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029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2589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67065"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07500"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29905"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098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35645"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2" customWidth="1"/>
    <col min="2" max="2" width="94.8796296296296"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估价对象为北京市房地产，为XX所有。根据《》[]，估价对象建筑面积为644.12平方米。根据《》[]，估价对象（分摊）出让国有建设用地使用权面积为429.62平方米。估价对象用途为。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2022年11月18日</v>
      </c>
    </row>
    <row r="10" ht="15" spans="1:2">
      <c r="A10" s="3609" t="s">
        <v>10</v>
      </c>
      <c r="B10" s="3613" t="str">
        <f>'预评函-1'!A13</f>
        <v>本次估价的“房地产价值”是指在正常市场情况下，在价值时点2022年11月18日，估价对象规划用途为，假定未设立法定优先受偿款下的房地产市场价值。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644.12</v>
      </c>
    </row>
    <row r="19" ht="15" spans="1:2">
      <c r="A19" s="3609" t="s">
        <v>19</v>
      </c>
      <c r="B19" s="3613">
        <f ca="1">'预评函-2（1）'!D7</f>
        <v>2739</v>
      </c>
    </row>
    <row r="20" ht="15" spans="1:2">
      <c r="A20" s="3609" t="s">
        <v>20</v>
      </c>
      <c r="B20" s="3613" t="str">
        <f>'预评函-2（1）'!C7</f>
        <v>总价（万元）</v>
      </c>
    </row>
    <row r="21" ht="15" spans="1:2">
      <c r="A21" s="3609" t="s">
        <v>21</v>
      </c>
      <c r="B21" s="3613">
        <f ca="1">'预评函-2（1）'!D9</f>
        <v>42518</v>
      </c>
    </row>
    <row r="22" ht="15" spans="1:2">
      <c r="A22" s="3609" t="s">
        <v>22</v>
      </c>
      <c r="B22" s="3613" t="str">
        <f ca="1">'预评函-2（1）'!D8</f>
        <v>贰仟柒佰叁拾玖万元整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2739</v>
      </c>
    </row>
    <row r="30" ht="15" spans="1:2">
      <c r="A30" s="3609" t="s">
        <v>30</v>
      </c>
      <c r="B30" s="3613" t="str">
        <f ca="1">'预评函-2（1）'!D16</f>
        <v>贰仟柒佰叁拾玖万元整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429.62</v>
      </c>
    </row>
    <row r="37" ht="15" spans="1:2">
      <c r="A37" s="3609" t="s">
        <v>37</v>
      </c>
      <c r="B37" s="3613">
        <f ca="1">'预评函-2（2）'!D4</f>
        <v>129</v>
      </c>
    </row>
    <row r="38" ht="15" spans="1:2">
      <c r="A38" s="3609" t="s">
        <v>38</v>
      </c>
      <c r="B38" s="3613">
        <f ca="1">'预评函-2（2）'!E4</f>
        <v>2000</v>
      </c>
    </row>
    <row r="39" ht="15" spans="1:2">
      <c r="A39" s="3609" t="s">
        <v>39</v>
      </c>
      <c r="B39" s="3613" t="str">
        <f ca="1">'预评函-2（2）'!D5</f>
        <v>壹佰贰拾玖万元整</v>
      </c>
    </row>
    <row r="40" ht="15" spans="1:2">
      <c r="A40" s="3609" t="s">
        <v>40</v>
      </c>
      <c r="B40" s="3613">
        <f ca="1">'预评函-2（2）'!F4</f>
        <v>287</v>
      </c>
    </row>
    <row r="41" ht="15" spans="1:2">
      <c r="A41" s="3609" t="s">
        <v>41</v>
      </c>
      <c r="B41" s="3613">
        <f ca="1">'预评函-2（2）'!G4</f>
        <v>4460</v>
      </c>
    </row>
    <row r="42" s="3600" customFormat="1" ht="16.35" spans="1:2">
      <c r="A42" s="3611" t="s">
        <v>42</v>
      </c>
      <c r="B42" s="3615" t="str">
        <f ca="1">'预评函-2（2）'!F5</f>
        <v>贰佰捌拾柒万元整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42518</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296296296296" style="3274" customWidth="1"/>
    <col min="2" max="2" width="15" style="3274" customWidth="1"/>
    <col min="3" max="3" width="14.1296296296296" style="3274" customWidth="1"/>
    <col min="4" max="4" width="12.5" style="3274" customWidth="1"/>
    <col min="5" max="5" width="13.8796296296296" style="3274" customWidth="1"/>
    <col min="6" max="6" width="15" style="3274" customWidth="1"/>
    <col min="7" max="7" width="14.8796296296296" style="3274" customWidth="1"/>
    <col min="8" max="8" width="4.2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44883</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195"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16" t="s">
        <v>351</v>
      </c>
      <c r="C9" s="3298"/>
      <c r="D9" s="3319"/>
      <c r="E9" s="3320" t="s">
        <v>352</v>
      </c>
      <c r="F9" s="3321" t="s">
        <v>353</v>
      </c>
      <c r="G9" s="3322"/>
    </row>
    <row r="10" ht="13.95" spans="1:7">
      <c r="A10" s="3312"/>
      <c r="B10" s="2216" t="s">
        <v>354</v>
      </c>
      <c r="C10" s="3323"/>
      <c r="D10" s="3324"/>
      <c r="E10" s="3325" t="s">
        <v>355</v>
      </c>
      <c r="F10" s="3326" t="s">
        <v>356</v>
      </c>
      <c r="G10" s="3327"/>
    </row>
    <row r="11" ht="13.95" spans="1:7">
      <c r="A11" s="3312"/>
      <c r="B11" s="2172" t="s">
        <v>357</v>
      </c>
      <c r="C11" s="3328"/>
      <c r="D11" s="3329"/>
      <c r="E11" s="3307"/>
      <c r="F11" s="3307"/>
      <c r="G11" s="3308"/>
    </row>
    <row r="12" ht="13.95" spans="1:7">
      <c r="A12" s="3330" t="s">
        <v>358</v>
      </c>
      <c r="B12" s="3331" t="s">
        <v>359</v>
      </c>
      <c r="C12" s="3332">
        <v>644.12</v>
      </c>
      <c r="D12" s="3333" t="s">
        <v>360</v>
      </c>
      <c r="E12" s="3334"/>
      <c r="F12" s="3335"/>
      <c r="G12" s="3308"/>
    </row>
    <row r="13" ht="21" customHeight="1" spans="1:17">
      <c r="A13" s="3336"/>
      <c r="B13" s="3337" t="s">
        <v>361</v>
      </c>
      <c r="C13" s="3338">
        <v>429.62</v>
      </c>
      <c r="D13" s="3339" t="s">
        <v>360</v>
      </c>
      <c r="E13" s="3340"/>
      <c r="F13" s="3307"/>
      <c r="G13" s="3308"/>
      <c r="I13" s="3307" t="s">
        <v>362</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363</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364</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365</v>
      </c>
      <c r="B16" s="3346" t="s">
        <v>366</v>
      </c>
      <c r="C16" s="3347"/>
      <c r="D16" s="3336" t="s">
        <v>367</v>
      </c>
      <c r="E16" s="3348"/>
      <c r="F16" s="3349" t="str">
        <f>IF(AND(C16="是",E16="否"),"是否提供他项权证或相关说明","")</f>
        <v/>
      </c>
      <c r="G16" s="3348"/>
      <c r="J16" s="3287"/>
    </row>
    <row r="17" ht="13.5" customHeight="1" spans="1:10">
      <c r="A17" s="3350" t="s">
        <v>368</v>
      </c>
      <c r="B17" s="3351" t="s">
        <v>369</v>
      </c>
      <c r="C17" s="3352"/>
      <c r="D17" s="3353" t="s">
        <v>370</v>
      </c>
      <c r="E17" s="3354"/>
      <c r="F17" s="3355" t="s">
        <v>371</v>
      </c>
      <c r="G17" s="3356"/>
      <c r="J17" s="3287"/>
    </row>
    <row r="18" ht="24" spans="1:10">
      <c r="A18" s="3350"/>
      <c r="B18" s="3357"/>
      <c r="C18" s="3302"/>
      <c r="D18" s="3358" t="s">
        <v>372</v>
      </c>
      <c r="E18" s="3359"/>
      <c r="F18" s="3360"/>
      <c r="G18" s="3361"/>
      <c r="H18" s="3287"/>
      <c r="J18" s="3287"/>
    </row>
    <row r="19" ht="21.75" customHeight="1" spans="1:7">
      <c r="A19" s="3350"/>
      <c r="B19" s="3362"/>
      <c r="C19" s="3340"/>
      <c r="D19" s="3350"/>
      <c r="E19" s="3307"/>
      <c r="F19" s="3307"/>
      <c r="G19" s="3361"/>
    </row>
    <row r="20" spans="1:7">
      <c r="A20" s="3356" t="s">
        <v>373</v>
      </c>
      <c r="B20" s="3363" t="s">
        <v>374</v>
      </c>
      <c r="C20" s="3364"/>
      <c r="D20" s="3365" t="s">
        <v>374</v>
      </c>
      <c r="E20" s="3364"/>
      <c r="F20" s="3307"/>
      <c r="G20" s="3361"/>
    </row>
    <row r="21" spans="1:7">
      <c r="A21" s="3361"/>
      <c r="B21" s="3366" t="s">
        <v>375</v>
      </c>
      <c r="C21" s="3324"/>
      <c r="D21" s="3350" t="s">
        <v>375</v>
      </c>
      <c r="E21" s="3367"/>
      <c r="F21" s="3307"/>
      <c r="G21" s="3361"/>
    </row>
    <row r="22" spans="1:7">
      <c r="A22" s="3361"/>
      <c r="B22" s="3307" t="s">
        <v>376</v>
      </c>
      <c r="C22" s="3368"/>
      <c r="D22" s="3307" t="s">
        <v>376</v>
      </c>
      <c r="E22" s="3367"/>
      <c r="F22" s="3307"/>
      <c r="G22" s="3361"/>
    </row>
    <row r="23" s="3270" customFormat="1" ht="16.35" spans="1:66">
      <c r="A23" s="3369"/>
      <c r="B23" s="3370" t="s">
        <v>377</v>
      </c>
      <c r="C23" s="3338"/>
      <c r="D23" s="3370" t="s">
        <v>377</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378</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379</v>
      </c>
      <c r="B25" s="3307"/>
      <c r="C25" s="3307"/>
      <c r="D25" s="3307"/>
      <c r="E25" s="3307"/>
      <c r="F25" s="3307"/>
      <c r="G25" s="3369"/>
      <c r="K25" s="3275"/>
    </row>
    <row r="26" s="3272" customFormat="1" ht="13.95" spans="1:66">
      <c r="A26" s="3376"/>
      <c r="B26" s="3377" t="s">
        <v>380</v>
      </c>
      <c r="C26" s="3376"/>
      <c r="D26" s="3377"/>
      <c r="E26" s="3378" t="s">
        <v>381</v>
      </c>
      <c r="F26" s="3376"/>
      <c r="G26" s="3379" t="s">
        <v>382</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383</v>
      </c>
      <c r="B28" s="3384"/>
      <c r="C28" s="3385" t="s">
        <v>383</v>
      </c>
      <c r="D28" s="3386"/>
      <c r="E28" s="3384"/>
      <c r="F28" s="3383" t="s">
        <v>383</v>
      </c>
      <c r="G28" s="3384"/>
      <c r="K28" s="3275"/>
    </row>
    <row r="29" spans="1:11">
      <c r="A29" s="3387" t="s">
        <v>384</v>
      </c>
      <c r="B29" s="3388"/>
      <c r="C29" s="3389" t="s">
        <v>385</v>
      </c>
      <c r="D29" s="3390"/>
      <c r="E29" s="3388"/>
      <c r="F29" s="3387" t="s">
        <v>385</v>
      </c>
      <c r="G29" s="3388"/>
      <c r="K29" s="3275"/>
    </row>
    <row r="30" spans="1:11">
      <c r="A30" s="3387" t="s">
        <v>386</v>
      </c>
      <c r="B30" s="3388"/>
      <c r="C30" s="3389" t="s">
        <v>386</v>
      </c>
      <c r="D30" s="3390"/>
      <c r="E30" s="3388"/>
      <c r="F30" s="3387" t="s">
        <v>387</v>
      </c>
      <c r="G30" s="3388"/>
      <c r="K30" s="3275"/>
    </row>
    <row r="31" spans="1:7">
      <c r="A31" s="3387" t="s">
        <v>388</v>
      </c>
      <c r="B31" s="3388"/>
      <c r="C31" s="3391" t="s">
        <v>389</v>
      </c>
      <c r="D31" s="3307"/>
      <c r="E31" s="3392" t="str">
        <f>E32&amp;" "&amp;E33&amp;" "&amp;E34&amp;" "&amp;E35</f>
        <v/>
      </c>
      <c r="F31" s="3387" t="s">
        <v>390</v>
      </c>
      <c r="G31" s="3388"/>
    </row>
    <row r="32" spans="1:7">
      <c r="A32" s="3387" t="s">
        <v>391</v>
      </c>
      <c r="B32" s="3388"/>
      <c r="C32" s="3393"/>
      <c r="D32" s="2216" t="s">
        <v>392</v>
      </c>
      <c r="E32" s="3388"/>
      <c r="F32" s="3387" t="s">
        <v>393</v>
      </c>
      <c r="G32" s="3388"/>
    </row>
    <row r="33" ht="24.75" spans="1:7">
      <c r="A33" s="3394" t="s">
        <v>394</v>
      </c>
      <c r="B33" s="3395"/>
      <c r="C33" s="3393"/>
      <c r="D33" s="2216" t="s">
        <v>395</v>
      </c>
      <c r="E33" s="3388"/>
      <c r="F33" s="3387" t="s">
        <v>396</v>
      </c>
      <c r="G33" s="3388"/>
    </row>
    <row r="34" spans="1:7">
      <c r="A34" s="3383" t="s">
        <v>397</v>
      </c>
      <c r="B34" s="3384"/>
      <c r="C34" s="3393"/>
      <c r="D34" s="2216" t="s">
        <v>398</v>
      </c>
      <c r="E34" s="3388"/>
      <c r="F34" s="3387" t="s">
        <v>399</v>
      </c>
      <c r="G34" s="3388"/>
    </row>
    <row r="35" ht="13.95" spans="1:7">
      <c r="A35" s="3387" t="s">
        <v>400</v>
      </c>
      <c r="B35" s="3388"/>
      <c r="C35" s="3396"/>
      <c r="D35" s="2216" t="s">
        <v>401</v>
      </c>
      <c r="E35" s="3388"/>
      <c r="F35" s="3394" t="s">
        <v>402</v>
      </c>
      <c r="G35" s="3397"/>
    </row>
    <row r="36" spans="1:7">
      <c r="A36" s="3387" t="s">
        <v>359</v>
      </c>
      <c r="B36" s="3388"/>
      <c r="C36" s="3389" t="s">
        <v>403</v>
      </c>
      <c r="D36" s="3390"/>
      <c r="E36" s="3388"/>
      <c r="F36" s="3386" t="s">
        <v>404</v>
      </c>
      <c r="G36" s="3384"/>
    </row>
    <row r="37" ht="24.75" spans="1:7">
      <c r="A37" s="3387" t="s">
        <v>405</v>
      </c>
      <c r="B37" s="3388"/>
      <c r="C37" s="3398" t="s">
        <v>406</v>
      </c>
      <c r="D37" s="3399"/>
      <c r="E37" s="3395"/>
      <c r="F37" s="3390" t="s">
        <v>407</v>
      </c>
      <c r="G37" s="3388"/>
    </row>
    <row r="38" ht="13.95" spans="1:7">
      <c r="A38" s="3387" t="s">
        <v>408</v>
      </c>
      <c r="B38" s="3388"/>
      <c r="C38" s="3383" t="s">
        <v>409</v>
      </c>
      <c r="D38" s="3333" t="s">
        <v>393</v>
      </c>
      <c r="E38" s="3384"/>
      <c r="F38" s="3394" t="s">
        <v>410</v>
      </c>
      <c r="G38" s="3395"/>
    </row>
    <row r="39" spans="1:7">
      <c r="A39" s="3387" t="s">
        <v>411</v>
      </c>
      <c r="B39" s="3388"/>
      <c r="C39" s="3387"/>
      <c r="D39" s="2216" t="s">
        <v>400</v>
      </c>
      <c r="E39" s="3388"/>
      <c r="F39" s="3383" t="s">
        <v>412</v>
      </c>
      <c r="G39" s="3384"/>
    </row>
    <row r="40" spans="1:7">
      <c r="A40" s="3387" t="s">
        <v>413</v>
      </c>
      <c r="B40" s="3388"/>
      <c r="C40" s="3387" t="s">
        <v>414</v>
      </c>
      <c r="D40" s="2216" t="s">
        <v>359</v>
      </c>
      <c r="E40" s="3388"/>
      <c r="F40" s="3387" t="s">
        <v>415</v>
      </c>
      <c r="G40" s="3388"/>
    </row>
    <row r="41" ht="24.75" customHeight="1" spans="1:7">
      <c r="A41" s="3394" t="s">
        <v>416</v>
      </c>
      <c r="B41" s="3395"/>
      <c r="C41" s="3394"/>
      <c r="D41" s="3339" t="s">
        <v>361</v>
      </c>
      <c r="E41" s="3395"/>
      <c r="F41" s="3394" t="s">
        <v>417</v>
      </c>
      <c r="G41" s="3395"/>
    </row>
    <row r="42" ht="24" spans="1:7">
      <c r="A42" s="3400" t="s">
        <v>418</v>
      </c>
      <c r="B42" s="3401"/>
      <c r="C42" s="3402" t="s">
        <v>418</v>
      </c>
      <c r="D42" s="3403"/>
      <c r="E42" s="3401"/>
      <c r="F42" s="3383" t="s">
        <v>419</v>
      </c>
      <c r="G42" s="3401"/>
    </row>
    <row r="43" spans="1:7">
      <c r="A43" s="3312" t="s">
        <v>420</v>
      </c>
      <c r="B43" s="3404"/>
      <c r="C43" s="3350"/>
      <c r="D43" s="3366"/>
      <c r="E43" s="3404"/>
      <c r="F43" s="3312"/>
      <c r="G43" s="3404"/>
    </row>
    <row r="44" spans="1:7">
      <c r="A44" s="3312" t="s">
        <v>374</v>
      </c>
      <c r="B44" s="3405"/>
      <c r="C44" s="3350"/>
      <c r="D44" s="2183" t="s">
        <v>374</v>
      </c>
      <c r="E44" s="3405"/>
      <c r="F44" s="3312" t="s">
        <v>374</v>
      </c>
      <c r="G44" s="3405"/>
    </row>
    <row r="45" spans="1:7">
      <c r="A45" s="3312" t="s">
        <v>375</v>
      </c>
      <c r="B45" s="3405"/>
      <c r="C45" s="3350"/>
      <c r="D45" s="3366" t="s">
        <v>375</v>
      </c>
      <c r="E45" s="3405"/>
      <c r="F45" s="3312" t="s">
        <v>375</v>
      </c>
      <c r="G45" s="3405"/>
    </row>
    <row r="46" spans="1:7">
      <c r="A46" s="3312" t="s">
        <v>376</v>
      </c>
      <c r="B46" s="3405"/>
      <c r="C46" s="3350"/>
      <c r="D46" s="3366" t="s">
        <v>376</v>
      </c>
      <c r="E46" s="3405"/>
      <c r="F46" s="3312" t="s">
        <v>376</v>
      </c>
      <c r="G46" s="3405"/>
    </row>
    <row r="47" spans="1:7">
      <c r="A47" s="3312" t="s">
        <v>377</v>
      </c>
      <c r="B47" s="3405"/>
      <c r="C47" s="3350"/>
      <c r="D47" s="3366" t="s">
        <v>377</v>
      </c>
      <c r="E47" s="3405"/>
      <c r="F47" s="3312" t="s">
        <v>377</v>
      </c>
      <c r="G47" s="3405"/>
    </row>
    <row r="48" spans="1:7">
      <c r="A48" s="3312"/>
      <c r="B48" s="3405"/>
      <c r="C48" s="3350"/>
      <c r="D48" s="3366"/>
      <c r="E48" s="3405"/>
      <c r="F48" s="3312"/>
      <c r="G48" s="3405"/>
    </row>
    <row r="49" ht="13.95" spans="1:7">
      <c r="A49" s="3394" t="s">
        <v>421</v>
      </c>
      <c r="B49" s="3395"/>
      <c r="C49" s="3406" t="s">
        <v>421</v>
      </c>
      <c r="D49" s="2183"/>
      <c r="E49" s="3407"/>
      <c r="F49" s="3394" t="s">
        <v>422</v>
      </c>
      <c r="G49" s="3395"/>
    </row>
    <row r="50" spans="1:7">
      <c r="A50" s="3387" t="s">
        <v>423</v>
      </c>
      <c r="B50" s="3408"/>
      <c r="C50" s="3383" t="s">
        <v>424</v>
      </c>
      <c r="D50" s="3333"/>
      <c r="E50" s="3409"/>
      <c r="F50" s="3410"/>
      <c r="G50" s="3411"/>
    </row>
    <row r="51" ht="13.95" spans="1:7">
      <c r="A51" s="3387" t="s">
        <v>425</v>
      </c>
      <c r="B51" s="3408"/>
      <c r="C51" s="3394" t="s">
        <v>426</v>
      </c>
      <c r="D51" s="3339"/>
      <c r="E51" s="3395"/>
      <c r="F51" s="3307"/>
      <c r="G51" s="3308"/>
    </row>
    <row r="52" spans="1:7">
      <c r="A52" s="3387" t="s">
        <v>404</v>
      </c>
      <c r="B52" s="3388"/>
      <c r="C52" s="3307"/>
      <c r="D52" s="3307"/>
      <c r="E52" s="3307"/>
      <c r="F52" s="3307"/>
      <c r="G52" s="3308"/>
    </row>
    <row r="53" ht="24.75" spans="1:7">
      <c r="A53" s="3394" t="s">
        <v>427</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F10">
      <formula1>INDIRECT($F$9)</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6" customWidth="1"/>
    <col min="2" max="2" width="10.6296296296296" style="3266" customWidth="1"/>
    <col min="3" max="3" width="15.75" style="3266" customWidth="1"/>
    <col min="4" max="7" width="9.5" style="3266" customWidth="1"/>
    <col min="8" max="13" width="9.12962962962963" style="3266" customWidth="1"/>
    <col min="14" max="16384" width="9" style="3266"/>
  </cols>
  <sheetData>
    <row r="1" ht="15.6" spans="1:13">
      <c r="A1" s="3267" t="s">
        <v>428</v>
      </c>
      <c r="B1" s="3267" t="s">
        <v>429</v>
      </c>
      <c r="C1" s="3267" t="s">
        <v>430</v>
      </c>
      <c r="D1" s="3268" t="s">
        <v>431</v>
      </c>
      <c r="E1" s="3268" t="s">
        <v>432</v>
      </c>
      <c r="F1" s="3268"/>
      <c r="G1" s="3268"/>
      <c r="H1" s="3268"/>
      <c r="I1" s="3268"/>
      <c r="J1" s="3268"/>
      <c r="K1" s="3268"/>
      <c r="L1" s="3268"/>
      <c r="M1" s="3268"/>
    </row>
    <row r="2" ht="27" customHeight="1" spans="1:13">
      <c r="A2" s="3267"/>
      <c r="B2" s="3267"/>
      <c r="C2" s="3267"/>
      <c r="D2" s="3268"/>
      <c r="E2" s="3268" t="s">
        <v>433</v>
      </c>
      <c r="F2" s="3268" t="s">
        <v>434</v>
      </c>
      <c r="G2" s="3268"/>
      <c r="H2" s="3268"/>
      <c r="I2" s="3268"/>
      <c r="J2" s="3268" t="s">
        <v>435</v>
      </c>
      <c r="K2" s="3268"/>
      <c r="L2" s="3268"/>
      <c r="M2" s="3268"/>
    </row>
    <row r="3" ht="46.8" spans="1:13">
      <c r="A3" s="3267"/>
      <c r="B3" s="3267"/>
      <c r="C3" s="3267"/>
      <c r="D3" s="3268"/>
      <c r="E3" s="3268"/>
      <c r="F3" s="3269" t="s">
        <v>436</v>
      </c>
      <c r="G3" s="3269" t="s">
        <v>437</v>
      </c>
      <c r="H3" s="3269" t="s">
        <v>438</v>
      </c>
      <c r="I3" s="3269" t="s">
        <v>439</v>
      </c>
      <c r="J3" s="3269" t="s">
        <v>436</v>
      </c>
      <c r="K3" s="3269" t="s">
        <v>440</v>
      </c>
      <c r="L3" s="3269" t="s">
        <v>441</v>
      </c>
      <c r="M3" s="3269" t="s">
        <v>442</v>
      </c>
    </row>
    <row r="4" ht="46.8" spans="1:13">
      <c r="A4" s="3269" t="s">
        <v>443</v>
      </c>
      <c r="B4" s="3269" t="s">
        <v>444</v>
      </c>
      <c r="C4" s="3269" t="s">
        <v>445</v>
      </c>
      <c r="D4" s="3268">
        <v>3807.94</v>
      </c>
      <c r="E4" s="3268">
        <v>20666.91</v>
      </c>
      <c r="F4" s="3268">
        <v>19673</v>
      </c>
      <c r="G4" s="3268">
        <v>0</v>
      </c>
      <c r="H4" s="3268">
        <v>19673</v>
      </c>
      <c r="I4" s="3268">
        <v>0</v>
      </c>
      <c r="J4" s="3268">
        <v>993.91</v>
      </c>
      <c r="K4" s="3268">
        <v>0</v>
      </c>
      <c r="L4" s="3268">
        <v>0</v>
      </c>
      <c r="M4" s="3268">
        <v>993.91</v>
      </c>
    </row>
    <row r="5" ht="46.8" spans="1:13">
      <c r="A5" s="3269" t="s">
        <v>443</v>
      </c>
      <c r="B5" s="3269" t="s">
        <v>446</v>
      </c>
      <c r="C5" s="3269" t="s">
        <v>447</v>
      </c>
      <c r="D5" s="3268">
        <v>3667.86</v>
      </c>
      <c r="E5" s="3268">
        <v>19906.61</v>
      </c>
      <c r="F5" s="3268">
        <v>18792.87</v>
      </c>
      <c r="G5" s="3268">
        <v>18792.87</v>
      </c>
      <c r="H5" s="3268">
        <v>0</v>
      </c>
      <c r="I5" s="3268">
        <v>0</v>
      </c>
      <c r="J5" s="3268">
        <v>1113.74</v>
      </c>
      <c r="K5" s="3268">
        <v>55.59</v>
      </c>
      <c r="L5" s="3268">
        <v>0</v>
      </c>
      <c r="M5" s="3268">
        <v>1058.15</v>
      </c>
    </row>
    <row r="6" ht="46.8" spans="1:13">
      <c r="A6" s="3269" t="s">
        <v>443</v>
      </c>
      <c r="B6" s="3269" t="s">
        <v>446</v>
      </c>
      <c r="C6" s="3269" t="s">
        <v>448</v>
      </c>
      <c r="D6" s="3268">
        <v>2067.52</v>
      </c>
      <c r="E6" s="3268">
        <v>11221.06</v>
      </c>
      <c r="F6" s="3268">
        <v>9934.13</v>
      </c>
      <c r="G6" s="3268">
        <v>9934.13</v>
      </c>
      <c r="H6" s="3268">
        <v>0</v>
      </c>
      <c r="I6" s="3268">
        <v>0</v>
      </c>
      <c r="J6" s="3268">
        <v>1286.93</v>
      </c>
      <c r="K6" s="3268">
        <v>0</v>
      </c>
      <c r="L6" s="3268">
        <v>0</v>
      </c>
      <c r="M6" s="3268">
        <v>1286.93</v>
      </c>
    </row>
    <row r="7" ht="46.8" spans="1:13">
      <c r="A7" s="3269" t="s">
        <v>443</v>
      </c>
      <c r="B7" s="3269" t="s">
        <v>446</v>
      </c>
      <c r="C7" s="3269" t="s">
        <v>449</v>
      </c>
      <c r="D7" s="3268">
        <v>8.18</v>
      </c>
      <c r="E7" s="3268">
        <v>44.41</v>
      </c>
      <c r="F7" s="3268">
        <v>0</v>
      </c>
      <c r="G7" s="3268">
        <v>0</v>
      </c>
      <c r="H7" s="3268">
        <v>0</v>
      </c>
      <c r="I7" s="3268">
        <v>0</v>
      </c>
      <c r="J7" s="3268">
        <v>44.41</v>
      </c>
      <c r="K7" s="3268">
        <v>44.41</v>
      </c>
      <c r="L7" s="3268">
        <v>0</v>
      </c>
      <c r="M7" s="3268">
        <v>0</v>
      </c>
    </row>
    <row r="8" ht="46.8" spans="1:13">
      <c r="A8" s="3269" t="s">
        <v>443</v>
      </c>
      <c r="B8" s="3269" t="s">
        <v>446</v>
      </c>
      <c r="C8" s="3269" t="s">
        <v>439</v>
      </c>
      <c r="D8" s="3268">
        <v>2455.53</v>
      </c>
      <c r="E8" s="3268">
        <v>13326.96</v>
      </c>
      <c r="F8" s="3268">
        <v>9231.05</v>
      </c>
      <c r="G8" s="3268">
        <v>0</v>
      </c>
      <c r="H8" s="3268">
        <v>0</v>
      </c>
      <c r="I8" s="3268">
        <v>9231.05</v>
      </c>
      <c r="J8" s="3268">
        <v>4095.91</v>
      </c>
      <c r="K8" s="3268">
        <v>0</v>
      </c>
      <c r="L8" s="3268">
        <v>3320.79</v>
      </c>
      <c r="M8" s="3268">
        <v>775.12</v>
      </c>
    </row>
    <row r="9" ht="27" customHeight="1" spans="1:13">
      <c r="A9" s="3268" t="s">
        <v>450</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5" sqref="B45"/>
    </sheetView>
  </sheetViews>
  <sheetFormatPr defaultColWidth="13.75" defaultRowHeight="13.2"/>
  <cols>
    <col min="1" max="1" width="20.8796296296296" style="3154" customWidth="1"/>
    <col min="2" max="2" width="16.75" style="3076" customWidth="1"/>
    <col min="3" max="3" width="18.25" style="3077" customWidth="1"/>
    <col min="4" max="4" width="34.1296296296296" style="3155" customWidth="1"/>
    <col min="5" max="5" width="17.6296296296296" style="3155" customWidth="1"/>
    <col min="6" max="6" width="15.5" style="3156" customWidth="1"/>
    <col min="7" max="8" width="9.12962962962963" style="3157" customWidth="1"/>
    <col min="9" max="9" width="15" style="3077" customWidth="1"/>
    <col min="10" max="14" width="8.87962962962963" style="3077" customWidth="1"/>
    <col min="15" max="16" width="12.3796296296296" style="3077" customWidth="1"/>
    <col min="17" max="17" width="8.62962962962963" style="3077" customWidth="1"/>
    <col min="18" max="18" width="12.5" style="3077" customWidth="1"/>
    <col min="19" max="19" width="8.5" style="3077" customWidth="1"/>
    <col min="20" max="21" width="10.8796296296296" style="3077" customWidth="1"/>
    <col min="22" max="23" width="12.5" style="3077" customWidth="1"/>
    <col min="24" max="24" width="12.1296296296296" style="3077" customWidth="1"/>
    <col min="25" max="25" width="7.5" style="3077" customWidth="1"/>
    <col min="26" max="26" width="6.37962962962963" style="3077" customWidth="1"/>
    <col min="27" max="32" width="6.75" style="3077" customWidth="1"/>
    <col min="33" max="33" width="6.5" style="3077" customWidth="1"/>
    <col min="34" max="36" width="7.25" style="3077" customWidth="1"/>
    <col min="37" max="41" width="8" style="3077" customWidth="1"/>
    <col min="42" max="16384" width="13.75" style="3076"/>
  </cols>
  <sheetData>
    <row r="1" ht="18.15" spans="1:5">
      <c r="A1" s="3158" t="s">
        <v>451</v>
      </c>
      <c r="B1" s="2326"/>
      <c r="D1" s="3156"/>
      <c r="E1" s="3156"/>
    </row>
    <row r="2" s="3080" customFormat="1" ht="15.15" spans="1:41">
      <c r="A2" s="3159" t="s">
        <v>452</v>
      </c>
      <c r="B2" s="3160">
        <f>项目基本情况!D2</f>
        <v>44883</v>
      </c>
      <c r="C2" s="1100"/>
      <c r="D2" s="3161" t="s">
        <v>453</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454</v>
      </c>
      <c r="B3" s="3166" t="s">
        <v>455</v>
      </c>
      <c r="C3" s="1100"/>
      <c r="D3" s="3167"/>
      <c r="E3" s="3168" t="s">
        <v>456</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457</v>
      </c>
      <c r="B4" s="3166" t="s">
        <v>458</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459</v>
      </c>
      <c r="B5" s="3170">
        <f>项目基本情况!C12</f>
        <v>644.12</v>
      </c>
      <c r="C5" s="1100"/>
      <c r="D5" s="3171" t="s">
        <v>460</v>
      </c>
      <c r="E5" s="3172">
        <f>B5</f>
        <v>644.12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461</v>
      </c>
      <c r="B6" s="3173">
        <f>项目基本情况!C13</f>
        <v>429.62</v>
      </c>
      <c r="C6" s="1100"/>
      <c r="D6" s="3171" t="s">
        <v>462</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463</v>
      </c>
      <c r="C10" s="1100"/>
      <c r="D10" s="3159" t="s">
        <v>464</v>
      </c>
      <c r="E10" s="3179" t="s">
        <v>465</v>
      </c>
      <c r="F10" s="3180"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467</v>
      </c>
      <c r="B11" s="3182">
        <v>40</v>
      </c>
      <c r="C11" s="1100"/>
      <c r="D11" s="3183" t="s">
        <v>468</v>
      </c>
      <c r="E11" s="3184">
        <v>160</v>
      </c>
      <c r="F11" s="3185" t="s">
        <v>469</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470</v>
      </c>
      <c r="B12" s="3187">
        <v>52961</v>
      </c>
      <c r="C12" s="1100"/>
      <c r="D12" s="3186" t="s">
        <v>471</v>
      </c>
      <c r="E12" s="3188">
        <v>200</v>
      </c>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472</v>
      </c>
      <c r="B13" s="3190">
        <f>IF(B12="",B11-(YEAR($B$2)-B27+B24),ROUNDDOWN(MIN((B12-$B$2)/365,B11),2))</f>
        <v>22.13</v>
      </c>
      <c r="C13" s="3191"/>
      <c r="D13" s="3192" t="s">
        <v>473</v>
      </c>
      <c r="E13" s="3193">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475</v>
      </c>
      <c r="B14" s="3194">
        <f>IF(ISERROR(ROUND(POWER(1+B15,B11-B13)*(POWER(1+B15,B13)-1)/(POWER(1+B15,B11)-1),3)),0,ROUND(POWER(1+B15,B11-B13)*(POWER(1+B15,B13)-1)/(POWER(1+B15,B11)-1),3))</f>
        <v>0.77</v>
      </c>
      <c r="C14" s="1100"/>
      <c r="D14" s="3195" t="s">
        <v>476</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477</v>
      </c>
      <c r="B15" s="3197">
        <v>0.05</v>
      </c>
      <c r="C15" s="2617" t="s">
        <v>478</v>
      </c>
      <c r="D15" s="3186" t="s">
        <v>479</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480</v>
      </c>
      <c r="B16" s="3197">
        <v>0.055</v>
      </c>
      <c r="C16" s="2617" t="s">
        <v>481</v>
      </c>
      <c r="D16" s="3199" t="s">
        <v>482</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483</v>
      </c>
      <c r="B17" s="3201">
        <v>0.075</v>
      </c>
      <c r="C17" s="2617" t="s">
        <v>484</v>
      </c>
      <c r="D17" s="3177" t="s">
        <v>485</v>
      </c>
      <c r="E17" s="3202">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486</v>
      </c>
      <c r="B18" s="3204">
        <v>0.07</v>
      </c>
      <c r="C18" s="1100"/>
      <c r="D18" s="3205" t="str">
        <f>IF(B26=0,"建安总额","在建建安")</f>
        <v>建安总额</v>
      </c>
      <c r="E18" s="3206">
        <f>ROUND(B5*E17*IF(B26=0,1,E20),0)</f>
        <v>1932360</v>
      </c>
      <c r="F18" s="3207">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487</v>
      </c>
      <c r="B20" s="2673"/>
      <c r="C20" s="1100"/>
      <c r="D20" s="3209" t="str">
        <f>IF(B26=0,"成新率","工程进度")</f>
        <v>成新率</v>
      </c>
      <c r="E20" s="3210">
        <f>G20*0.5+G21*0.5</f>
        <v>0.79</v>
      </c>
      <c r="F20" s="2326"/>
      <c r="G20" s="3211">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488</v>
      </c>
      <c r="B21" s="3213">
        <v>0</v>
      </c>
      <c r="C21" s="1100"/>
      <c r="D21" s="3186" t="s">
        <v>489</v>
      </c>
      <c r="E21" s="3214">
        <v>0.03</v>
      </c>
      <c r="F21" s="3215" t="s">
        <v>490</v>
      </c>
      <c r="G21" s="3210">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491</v>
      </c>
      <c r="B22" s="3217">
        <v>2</v>
      </c>
      <c r="C22" s="1100"/>
      <c r="D22" s="3186" t="s">
        <v>492</v>
      </c>
      <c r="E22" s="3218">
        <v>0</v>
      </c>
      <c r="F22" s="3215"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494</v>
      </c>
      <c r="B23" s="3220">
        <v>2</v>
      </c>
      <c r="C23" s="1100"/>
      <c r="D23" s="3186" t="s">
        <v>495</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496</v>
      </c>
      <c r="B24" s="3222">
        <f>B21+B22</f>
        <v>2</v>
      </c>
      <c r="C24" s="1100"/>
      <c r="D24" s="3199" t="s">
        <v>497</v>
      </c>
      <c r="E24" s="3223">
        <v>0.015</v>
      </c>
      <c r="F24" s="3215"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499</v>
      </c>
      <c r="B25" s="3225">
        <f>B21+B23</f>
        <v>2</v>
      </c>
      <c r="C25" s="1100"/>
      <c r="D25" s="3183" t="s">
        <v>500</v>
      </c>
      <c r="E25" s="3214">
        <v>0.02</v>
      </c>
      <c r="F25" s="3215" t="s">
        <v>501</v>
      </c>
      <c r="I25" s="3157"/>
    </row>
    <row r="26" ht="15.15" spans="1:14">
      <c r="A26" s="3221" t="s">
        <v>502</v>
      </c>
      <c r="B26" s="3226">
        <f>B22-B23</f>
        <v>0</v>
      </c>
      <c r="D26" s="3186" t="s">
        <v>503</v>
      </c>
      <c r="E26" s="3218">
        <v>0.02</v>
      </c>
      <c r="F26" s="3215" t="s">
        <v>501</v>
      </c>
      <c r="G26" s="3164"/>
      <c r="H26" s="3164"/>
      <c r="I26" s="1100"/>
      <c r="J26" s="1100"/>
      <c r="K26" s="1100"/>
      <c r="L26" s="1100"/>
      <c r="M26" s="1100"/>
      <c r="N26" s="1100"/>
    </row>
    <row r="27" ht="15.15" spans="1:14">
      <c r="A27" s="3227" t="s">
        <v>504</v>
      </c>
      <c r="B27" s="3228">
        <v>2006</v>
      </c>
      <c r="C27" s="1100"/>
      <c r="D27" s="3229" t="s">
        <v>505</v>
      </c>
      <c r="E27" s="3230">
        <f ca="1">IF(D27="利息：取LPR",存贷款利率!G1,存贷款利率!G1+F27)</f>
        <v>0.0415</v>
      </c>
      <c r="F27" s="3231">
        <v>0.005</v>
      </c>
      <c r="G27" s="3164"/>
      <c r="H27" s="3164"/>
      <c r="K27" s="1100"/>
      <c r="N27" s="1100"/>
    </row>
    <row r="28" ht="15.15" spans="1:14">
      <c r="A28" s="2326"/>
      <c r="B28" s="2326"/>
      <c r="D28" s="3192" t="s">
        <v>506</v>
      </c>
      <c r="E28" s="3232">
        <v>0.15</v>
      </c>
      <c r="G28" s="3164"/>
      <c r="H28" s="3164"/>
      <c r="K28" s="1100"/>
      <c r="N28" s="1100"/>
    </row>
    <row r="29" ht="14.4" spans="1:14">
      <c r="A29" s="3233" t="s">
        <v>507</v>
      </c>
      <c r="B29" s="3234" t="s">
        <v>508</v>
      </c>
      <c r="C29" s="3077">
        <f>ROUND(420000/B5/365,2)</f>
        <v>1.79</v>
      </c>
      <c r="D29" s="3195" t="s">
        <v>509</v>
      </c>
      <c r="E29" s="3235">
        <f>E30+E31</f>
        <v>0.055</v>
      </c>
      <c r="F29" s="946"/>
      <c r="G29" s="3164"/>
      <c r="H29" s="3164"/>
      <c r="K29" s="1100"/>
      <c r="N29" s="1100"/>
    </row>
    <row r="30" ht="14.4" spans="1:14">
      <c r="A30" s="3186" t="str">
        <f>IF(B29="租赁期内按合同租金","合同租金","市场租金")</f>
        <v>市场租金</v>
      </c>
      <c r="B30" s="3236">
        <v>7</v>
      </c>
      <c r="C30" s="3077">
        <v>8</v>
      </c>
      <c r="D30" s="3199" t="s">
        <v>510</v>
      </c>
      <c r="E30" s="3237">
        <v>0.05</v>
      </c>
      <c r="F30" s="3238">
        <f>IF(B2&lt;DATE(2016,5,1),0,E30)</f>
        <v>0.05</v>
      </c>
      <c r="G30" s="3164"/>
      <c r="H30" s="3164"/>
      <c r="K30" s="1100"/>
      <c r="N30" s="1100"/>
    </row>
    <row r="31" ht="14.4" spans="1:14">
      <c r="A31" s="3186" t="s">
        <v>511</v>
      </c>
      <c r="B31" s="3239">
        <f ca="1">存贷款利率!I1</f>
        <v>0.015</v>
      </c>
      <c r="C31" s="3077">
        <f>C30*0.7</f>
        <v>5.6</v>
      </c>
      <c r="D31" s="3199" t="s">
        <v>512</v>
      </c>
      <c r="E31" s="3240">
        <f>E30*(E32+E33+E34)+E35</f>
        <v>0.005</v>
      </c>
      <c r="F31" s="946"/>
      <c r="G31" s="3164"/>
      <c r="H31" s="3164"/>
      <c r="K31" s="1100"/>
      <c r="N31" s="1100"/>
    </row>
    <row r="32" ht="14.4" spans="1:14">
      <c r="A32" s="3186" t="s">
        <v>513</v>
      </c>
      <c r="B32" s="3197">
        <v>0.03</v>
      </c>
      <c r="C32" s="3077">
        <f>C30*0.5+C31*0.5</f>
        <v>6.8</v>
      </c>
      <c r="D32" s="3199" t="s">
        <v>514</v>
      </c>
      <c r="E32" s="3241">
        <v>0.05</v>
      </c>
      <c r="F32" s="3215" t="s">
        <v>515</v>
      </c>
      <c r="G32" s="3164"/>
      <c r="H32" s="3164"/>
      <c r="K32" s="1100"/>
      <c r="L32" s="1100"/>
      <c r="M32" s="1100"/>
      <c r="N32" s="1100"/>
    </row>
    <row r="33" ht="14.4" spans="1:14">
      <c r="A33" s="3186" t="s">
        <v>516</v>
      </c>
      <c r="B33" s="3197">
        <v>0.1</v>
      </c>
      <c r="D33" s="3199" t="s">
        <v>517</v>
      </c>
      <c r="E33" s="3237">
        <v>0.03</v>
      </c>
      <c r="F33" s="3242" t="s">
        <v>518</v>
      </c>
      <c r="G33" s="3164"/>
      <c r="H33" s="3164"/>
      <c r="K33" s="1100"/>
      <c r="L33" s="1100"/>
      <c r="M33" s="1100"/>
      <c r="N33" s="1100"/>
    </row>
    <row r="34" s="3077" customFormat="1" ht="14.4" spans="1:14">
      <c r="A34" s="3186" t="s">
        <v>519</v>
      </c>
      <c r="B34" s="3243">
        <f>收益法!J54</f>
        <v>22.13</v>
      </c>
      <c r="D34" s="3199" t="s">
        <v>520</v>
      </c>
      <c r="E34" s="3237">
        <v>0.02</v>
      </c>
      <c r="F34" s="3242" t="s">
        <v>521</v>
      </c>
      <c r="G34" s="3164"/>
      <c r="H34" s="3164"/>
      <c r="I34" s="1100"/>
      <c r="J34" s="1100"/>
      <c r="K34" s="1100"/>
      <c r="L34" s="1100"/>
      <c r="M34" s="1100"/>
      <c r="N34" s="1100"/>
    </row>
    <row r="35" s="3077" customFormat="1" ht="15.15" spans="1:14">
      <c r="A35" s="3199" t="str">
        <f>IF(B29="租赁期内按合同租金","剩余租赁期","——")</f>
        <v>——</v>
      </c>
      <c r="B35" s="3244"/>
      <c r="D35" s="3192" t="s">
        <v>522</v>
      </c>
      <c r="E35" s="3245"/>
      <c r="F35" s="3185" t="s">
        <v>469</v>
      </c>
      <c r="G35" s="3164"/>
      <c r="H35" s="3164"/>
      <c r="I35" s="1100"/>
      <c r="J35" s="1100"/>
      <c r="K35" s="1100"/>
      <c r="L35" s="1100"/>
      <c r="M35" s="1100"/>
      <c r="N35" s="1100"/>
    </row>
    <row r="36" s="3077" customFormat="1" ht="14.4" spans="1:14">
      <c r="A36" s="3246" t="s">
        <v>523</v>
      </c>
      <c r="B36" s="3247"/>
      <c r="D36" s="3248" t="s">
        <v>524</v>
      </c>
      <c r="E36" s="3249">
        <v>0.03</v>
      </c>
      <c r="F36" s="2673" t="s">
        <v>525</v>
      </c>
      <c r="G36" s="3164"/>
      <c r="H36" s="3164"/>
      <c r="I36" s="1100"/>
      <c r="J36" s="1100"/>
      <c r="K36" s="1100"/>
      <c r="L36" s="1100"/>
      <c r="M36" s="1100"/>
      <c r="N36" s="1100"/>
    </row>
    <row r="37" s="3077" customFormat="1" ht="15.15" spans="1:14">
      <c r="A37" s="3195" t="str">
        <f>IF(B29="租赁期内按合同租金","租金","——")</f>
        <v>——</v>
      </c>
      <c r="B37" s="3250"/>
      <c r="D37" s="3199" t="s">
        <v>526</v>
      </c>
      <c r="E37" s="3237">
        <v>0.0005</v>
      </c>
      <c r="F37" s="2673" t="s">
        <v>527</v>
      </c>
      <c r="G37" s="3164"/>
      <c r="H37" s="3164"/>
      <c r="I37" s="1100"/>
      <c r="J37" s="1100"/>
      <c r="K37" s="1100"/>
      <c r="L37" s="1100"/>
      <c r="M37" s="1100"/>
      <c r="N37" s="1100"/>
    </row>
    <row r="38" s="3077" customFormat="1" ht="14.4" spans="1:14">
      <c r="A38" s="3186" t="str">
        <f>IF(B29="租赁期内按合同租金","年租金增长率","——")</f>
        <v>——</v>
      </c>
      <c r="B38" s="3197"/>
      <c r="D38" s="3251" t="s">
        <v>528</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529</v>
      </c>
      <c r="E39" s="3253">
        <v>0.12</v>
      </c>
      <c r="F39" s="2673"/>
      <c r="G39" s="3164"/>
      <c r="H39" s="3164"/>
      <c r="I39" s="1100"/>
      <c r="J39" s="1100"/>
      <c r="K39" s="1100"/>
      <c r="L39" s="1100"/>
      <c r="M39" s="1100"/>
      <c r="N39" s="1100"/>
    </row>
    <row r="40" ht="14.4" spans="1:14">
      <c r="A40" s="3186" t="str">
        <f>IF(B29="租赁期内按合同租金","成新率","——")</f>
        <v>——</v>
      </c>
      <c r="B40" s="3197"/>
      <c r="D40" s="3251" t="s">
        <v>530</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531</v>
      </c>
      <c r="E41" s="3256" t="s">
        <v>353</v>
      </c>
      <c r="F41" s="2673" t="s">
        <v>532</v>
      </c>
      <c r="G41" s="1102" t="s">
        <v>533</v>
      </c>
      <c r="H41" s="3164"/>
      <c r="I41" s="1100"/>
      <c r="J41" s="1100"/>
      <c r="K41" s="1100"/>
      <c r="L41" s="1100"/>
      <c r="M41" s="1100"/>
      <c r="N41" s="1100"/>
    </row>
    <row r="42" ht="14.4" spans="1:14">
      <c r="A42" s="3183" t="s">
        <v>534</v>
      </c>
      <c r="B42" s="3257"/>
      <c r="D42" s="3258" t="s">
        <v>535</v>
      </c>
      <c r="E42" s="3236"/>
      <c r="F42" s="2673">
        <v>30</v>
      </c>
      <c r="G42" s="3164"/>
      <c r="H42" s="3164"/>
      <c r="I42" s="1100"/>
      <c r="J42" s="1100"/>
      <c r="K42" s="1100"/>
      <c r="L42" s="1100"/>
      <c r="M42" s="1100"/>
      <c r="N42" s="1100"/>
    </row>
    <row r="43" ht="14.4" spans="1:14">
      <c r="A43" s="3186" t="s">
        <v>536</v>
      </c>
      <c r="B43" s="3259">
        <v>365</v>
      </c>
      <c r="D43" s="3258" t="s">
        <v>537</v>
      </c>
      <c r="E43" s="3236"/>
      <c r="F43" s="2673">
        <v>24</v>
      </c>
      <c r="G43" s="3164"/>
      <c r="H43" s="3164"/>
      <c r="I43" s="1100"/>
      <c r="J43" s="1100"/>
      <c r="K43" s="1100"/>
      <c r="L43" s="1100"/>
      <c r="M43" s="1100"/>
      <c r="N43" s="1100"/>
    </row>
    <row r="44" ht="14.4" spans="1:14">
      <c r="A44" s="3186" t="s">
        <v>538</v>
      </c>
      <c r="B44" s="3236"/>
      <c r="D44" s="3258" t="s">
        <v>539</v>
      </c>
      <c r="E44" s="3236"/>
      <c r="F44" s="2673">
        <v>18</v>
      </c>
      <c r="G44" s="3077"/>
      <c r="H44" s="3077"/>
      <c r="I44" s="3164"/>
      <c r="J44" s="1100"/>
      <c r="K44" s="1100"/>
      <c r="L44" s="1100"/>
      <c r="M44" s="1100"/>
      <c r="N44" s="1100"/>
    </row>
    <row r="45" ht="14.4" spans="1:14">
      <c r="A45" s="3186" t="s">
        <v>540</v>
      </c>
      <c r="B45" s="3260">
        <v>0.01</v>
      </c>
      <c r="C45" s="2617" t="s">
        <v>541</v>
      </c>
      <c r="D45" s="3258" t="s">
        <v>542</v>
      </c>
      <c r="E45" s="3236"/>
      <c r="F45" s="2673">
        <v>12</v>
      </c>
      <c r="G45" s="3077"/>
      <c r="H45" s="3077"/>
      <c r="M45" s="1100"/>
      <c r="N45" s="1100"/>
    </row>
    <row r="46" ht="14.4" spans="1:14">
      <c r="A46" s="3186" t="s">
        <v>543</v>
      </c>
      <c r="B46" s="3261">
        <v>0.0015</v>
      </c>
      <c r="C46" s="2617" t="s">
        <v>544</v>
      </c>
      <c r="D46" s="3258" t="s">
        <v>262</v>
      </c>
      <c r="E46" s="3236"/>
      <c r="F46" s="2673">
        <v>3</v>
      </c>
      <c r="G46" s="3077"/>
      <c r="H46" s="3077"/>
      <c r="M46" s="1100"/>
      <c r="N46" s="1100"/>
    </row>
    <row r="47" ht="15.15" spans="1:14">
      <c r="A47" s="3192" t="s">
        <v>545</v>
      </c>
      <c r="B47" s="3262">
        <v>0.015</v>
      </c>
      <c r="C47" s="2617" t="s">
        <v>546</v>
      </c>
      <c r="D47" s="3258" t="s">
        <v>547</v>
      </c>
      <c r="E47" s="3236"/>
      <c r="F47" s="2673">
        <v>1.5</v>
      </c>
      <c r="G47" s="3077"/>
      <c r="H47" s="3077"/>
      <c r="M47" s="1100"/>
      <c r="N47" s="1100"/>
    </row>
    <row r="48" ht="14.4" spans="1:14">
      <c r="A48" s="3077"/>
      <c r="B48" s="3077"/>
      <c r="D48" s="3258" t="s">
        <v>548</v>
      </c>
      <c r="E48" s="3236"/>
      <c r="F48" s="2673"/>
      <c r="G48" s="3077"/>
      <c r="H48" s="3077"/>
      <c r="M48" s="1100"/>
      <c r="N48" s="1100"/>
    </row>
    <row r="49" ht="14.4" spans="1:14">
      <c r="A49" s="3077"/>
      <c r="B49" s="3077"/>
      <c r="D49" s="3258" t="s">
        <v>549</v>
      </c>
      <c r="E49" s="3236"/>
      <c r="F49" s="2673"/>
      <c r="G49" s="3077"/>
      <c r="H49" s="3077"/>
      <c r="M49" s="1100"/>
      <c r="N49" s="1100"/>
    </row>
    <row r="50" ht="14.4" spans="1:14">
      <c r="A50" s="3077"/>
      <c r="B50" s="3077"/>
      <c r="D50" s="3258" t="s">
        <v>550</v>
      </c>
      <c r="E50" s="3236"/>
      <c r="F50" s="2673"/>
      <c r="G50" s="3077"/>
      <c r="H50" s="3077"/>
      <c r="M50" s="1100"/>
      <c r="N50" s="1100"/>
    </row>
    <row r="51" s="2326" customFormat="1" ht="15.15" spans="1:41">
      <c r="A51" s="3077"/>
      <c r="B51" s="3077"/>
      <c r="C51" s="3077"/>
      <c r="D51" s="3263" t="s">
        <v>551</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0" customWidth="1"/>
    <col min="2" max="2" width="24.5" style="3081" customWidth="1"/>
    <col min="3" max="3" width="28.3796296296296" style="3082" customWidth="1"/>
    <col min="4" max="4" width="2.62962962962963" style="3082" customWidth="1"/>
    <col min="5" max="5" width="5.87962962962963" style="3082" customWidth="1"/>
    <col min="6" max="6" width="27" style="3081" customWidth="1"/>
    <col min="7" max="7" width="32.3796296296296" style="3083" customWidth="1"/>
    <col min="8" max="8" width="11.8796296296296" style="3084" customWidth="1"/>
    <col min="9" max="9" width="16.75" style="3085" customWidth="1"/>
    <col min="10" max="10" width="2.62962962962963" style="3084" customWidth="1"/>
    <col min="11" max="11" width="11.8796296296296" style="3084" customWidth="1"/>
    <col min="12" max="12" width="16.75" style="3085" customWidth="1"/>
    <col min="13" max="13" width="2.62962962962963" style="3084" customWidth="1"/>
    <col min="14" max="14" width="11.8796296296296" style="3084" customWidth="1"/>
    <col min="15" max="15" width="16.75" style="3085" customWidth="1"/>
    <col min="16" max="16" width="2.62962962962963" style="3084" customWidth="1"/>
    <col min="17" max="17" width="11.8796296296296" style="3084" customWidth="1"/>
    <col min="18" max="18" width="16.75" style="3086" customWidth="1"/>
    <col min="19" max="29" width="9" style="3079"/>
    <col min="30" max="16384" width="9" style="3080"/>
  </cols>
  <sheetData>
    <row r="1" s="3075" customFormat="1" ht="18.15" spans="1:29">
      <c r="A1" s="3087" t="s">
        <v>552</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553</v>
      </c>
      <c r="D2" s="3093"/>
      <c r="E2" s="3090"/>
      <c r="F2" s="3094"/>
      <c r="G2" s="3092" t="s">
        <v>554</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555</v>
      </c>
      <c r="B3" s="3096" t="s">
        <v>556</v>
      </c>
      <c r="C3" s="3097" t="s">
        <v>557</v>
      </c>
      <c r="D3" s="3098"/>
      <c r="E3" s="3099" t="s">
        <v>555</v>
      </c>
      <c r="F3" s="3100" t="s">
        <v>558</v>
      </c>
      <c r="G3" s="3101" t="s">
        <v>559</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29" t="s">
        <v>560</v>
      </c>
      <c r="C4" s="3102" t="s">
        <v>561</v>
      </c>
      <c r="D4" s="3098"/>
      <c r="E4" s="3103"/>
      <c r="F4" s="2723" t="s">
        <v>562</v>
      </c>
      <c r="G4" s="3104" t="s">
        <v>563</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29" t="s">
        <v>564</v>
      </c>
      <c r="C5" s="3102" t="s">
        <v>565</v>
      </c>
      <c r="D5" s="3098"/>
      <c r="E5" s="3103"/>
      <c r="F5" s="2229" t="s">
        <v>566</v>
      </c>
      <c r="G5" s="3104" t="s">
        <v>567</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29" t="s">
        <v>562</v>
      </c>
      <c r="C6" s="3104" t="s">
        <v>563</v>
      </c>
      <c r="D6" s="3098"/>
      <c r="E6" s="3103"/>
      <c r="F6" s="2229" t="s">
        <v>568</v>
      </c>
      <c r="G6" s="3104" t="s">
        <v>569</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29" t="s">
        <v>566</v>
      </c>
      <c r="C7" s="3104" t="s">
        <v>567</v>
      </c>
      <c r="D7" s="2727"/>
      <c r="E7" s="3105"/>
      <c r="F7" s="3106" t="s">
        <v>570</v>
      </c>
      <c r="G7" s="3107" t="s">
        <v>571</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29" t="s">
        <v>568</v>
      </c>
      <c r="C8" s="3104" t="s">
        <v>569</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29" t="s">
        <v>572</v>
      </c>
      <c r="C9" s="3102" t="s">
        <v>573</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574</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4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575</v>
      </c>
      <c r="B13" s="3115"/>
      <c r="C13" s="3115"/>
      <c r="D13" s="3118"/>
      <c r="E13" s="3115"/>
      <c r="F13" s="3115"/>
      <c r="G13" s="3115"/>
    </row>
    <row r="14" s="3076" customFormat="1" ht="13.95" spans="1:29">
      <c r="A14" s="3119"/>
      <c r="B14" s="3119"/>
      <c r="C14" s="3120" t="s">
        <v>553</v>
      </c>
      <c r="D14" s="3098"/>
      <c r="E14" s="3121"/>
      <c r="F14" s="3121"/>
      <c r="G14" s="3092" t="s">
        <v>554</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555</v>
      </c>
      <c r="B15" s="3124" t="s">
        <v>556</v>
      </c>
      <c r="C15" s="3125" t="str">
        <f>C3</f>
        <v>估价对象周边居住用地比例、居住小区规模和社区发展完善程度，综合评价居住社区成熟度一般</v>
      </c>
      <c r="D15" s="3098"/>
      <c r="E15" s="3126" t="s">
        <v>555</v>
      </c>
      <c r="F15" s="3124" t="s">
        <v>558</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560</v>
      </c>
      <c r="C16" s="3129" t="str">
        <f>C4</f>
        <v>估价对象位于XX商圈，周边商业氛围成熟，人流量大，商业繁华度好</v>
      </c>
      <c r="D16" s="3098"/>
      <c r="E16" s="3130"/>
      <c r="F16" s="2720" t="s">
        <v>562</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564</v>
      </c>
      <c r="C17" s="3129" t="str">
        <f>C5</f>
        <v>估价对象位于XX商圈，周边办公楼项目较多，入驻率高，办公集聚程度较好</v>
      </c>
      <c r="D17" s="2727"/>
      <c r="E17" s="3130"/>
      <c r="F17" s="3132" t="s">
        <v>576</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562</v>
      </c>
      <c r="C18" s="3131" t="str">
        <f>C6</f>
        <v>估价对象周边道路状况、公共交通通达情况、停车便捷程度，综合评价交通便捷度较好</v>
      </c>
      <c r="D18" s="2727"/>
      <c r="E18" s="3130"/>
      <c r="F18" s="2720" t="s">
        <v>570</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576</v>
      </c>
      <c r="C19" s="3133"/>
      <c r="D19" s="3098"/>
      <c r="E19" s="3130"/>
      <c r="F19" s="2229" t="s">
        <v>566</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577</v>
      </c>
      <c r="C20" s="3129" t="str">
        <f>C9</f>
        <v>区域自然环境：；人文环境；综合评价环境状况一般</v>
      </c>
      <c r="D20" s="2727"/>
      <c r="E20" s="3130"/>
      <c r="F20" s="2229" t="s">
        <v>568</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29" t="s">
        <v>566</v>
      </c>
      <c r="C21" s="3131" t="str">
        <f>C7</f>
        <v>估价对象所在区域公共配套设施齐备情况</v>
      </c>
      <c r="D21" s="3098"/>
      <c r="E21" s="3130"/>
      <c r="F21" s="2720" t="s">
        <v>578</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29" t="s">
        <v>568</v>
      </c>
      <c r="C22" s="3131" t="str">
        <f>C8</f>
        <v>估价对象所在区域基础设施水平</v>
      </c>
      <c r="D22" s="3098"/>
      <c r="E22" s="3130"/>
      <c r="F22" s="2720" t="s">
        <v>574</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578</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574</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22" sqref="K22"/>
    </sheetView>
  </sheetViews>
  <sheetFormatPr defaultColWidth="14.6296296296296" defaultRowHeight="14.4"/>
  <cols>
    <col min="1" max="1" width="24.3796296296296" style="3061" customWidth="1"/>
    <col min="2" max="16384" width="14.6296296296296" style="3061"/>
  </cols>
  <sheetData>
    <row r="1" ht="15.6" spans="1:7">
      <c r="A1" s="3062" t="s">
        <v>579</v>
      </c>
      <c r="B1" s="3062">
        <f>SUM(B14:B23)</f>
        <v>644.12</v>
      </c>
      <c r="C1" s="3063"/>
      <c r="D1" s="3063"/>
      <c r="E1" s="3063"/>
      <c r="F1" s="3063"/>
      <c r="G1" s="3064"/>
    </row>
    <row r="2" ht="15.6" spans="1:7">
      <c r="A2" s="3062" t="s">
        <v>580</v>
      </c>
      <c r="B2" s="3062">
        <f>SUM(C14:C23)</f>
        <v>429.62</v>
      </c>
      <c r="C2" s="3063"/>
      <c r="D2" s="3063"/>
      <c r="E2" s="3063"/>
      <c r="F2" s="3063"/>
      <c r="G2" s="3064"/>
    </row>
    <row r="3" ht="15.6" spans="1:7">
      <c r="A3" s="3062" t="s">
        <v>581</v>
      </c>
      <c r="B3" s="3065">
        <f>项目基本情况!D2</f>
        <v>44883</v>
      </c>
      <c r="C3" s="3063"/>
      <c r="D3" s="3063"/>
      <c r="E3" s="3063"/>
      <c r="F3" s="3063"/>
      <c r="G3" s="3064"/>
    </row>
    <row r="4" ht="31.2" spans="1:7">
      <c r="A4" s="3062" t="s">
        <v>582</v>
      </c>
      <c r="B4" s="3062" t="s">
        <v>583</v>
      </c>
      <c r="C4" s="3062" t="s">
        <v>584</v>
      </c>
      <c r="D4" s="3062" t="s">
        <v>585</v>
      </c>
      <c r="E4" s="3063"/>
      <c r="F4" s="3064"/>
      <c r="G4" s="3064"/>
    </row>
    <row r="5" ht="15.6" spans="1:7">
      <c r="A5" s="3062" t="s">
        <v>586</v>
      </c>
      <c r="B5" s="3062">
        <f ca="1">SUM(D14:D23)</f>
        <v>2739</v>
      </c>
      <c r="C5" s="3062">
        <f ca="1">ROUND(B5*10000/$B$1,0)</f>
        <v>42523</v>
      </c>
      <c r="D5" s="3062">
        <f ca="1">ROUND(B5*10000/$B$2,0)</f>
        <v>63754</v>
      </c>
      <c r="E5" s="3063"/>
      <c r="F5" s="3064"/>
      <c r="G5" s="3064"/>
    </row>
    <row r="6" ht="15.6" spans="1:7">
      <c r="A6" s="3062" t="s">
        <v>587</v>
      </c>
      <c r="B6" s="3062">
        <f ca="1">SUM(G14:G23)</f>
        <v>2739</v>
      </c>
      <c r="C6" s="3062">
        <f ca="1" t="shared" ref="C6:C8" si="0">ROUND(B6*10000/$B$1,0)</f>
        <v>42523</v>
      </c>
      <c r="D6" s="3062">
        <f ca="1" t="shared" ref="D6:D8" si="1">ROUND(B6*10000/$B$2,0)</f>
        <v>63754</v>
      </c>
      <c r="E6" s="3063"/>
      <c r="F6" s="3064"/>
      <c r="G6" s="3064"/>
    </row>
    <row r="7" ht="15.6" spans="1:7">
      <c r="A7" s="3062" t="s">
        <v>588</v>
      </c>
      <c r="B7" s="3062">
        <f ca="1">SUM(H14:H23)</f>
        <v>0</v>
      </c>
      <c r="C7" s="3062">
        <f ca="1">ROUND(B7*10000/$B$1,0)</f>
        <v>0</v>
      </c>
      <c r="D7" s="3062">
        <f ca="1" t="shared" si="1"/>
        <v>0</v>
      </c>
      <c r="E7" s="3063"/>
      <c r="F7" s="3064"/>
      <c r="G7" s="3064"/>
    </row>
    <row r="8" ht="15.6" spans="1:7">
      <c r="A8" s="3062" t="s">
        <v>589</v>
      </c>
      <c r="B8" s="3062">
        <f ca="1">SUM(I14:I23)</f>
        <v>0</v>
      </c>
      <c r="C8" s="3062">
        <f ca="1" t="shared" si="0"/>
        <v>0</v>
      </c>
      <c r="D8" s="3062">
        <f ca="1" t="shared" si="1"/>
        <v>0</v>
      </c>
      <c r="E8" s="3063"/>
      <c r="F8" s="3064"/>
      <c r="G8" s="3064"/>
    </row>
    <row r="9" ht="15.6" spans="1:7">
      <c r="A9" s="3062" t="s">
        <v>590</v>
      </c>
      <c r="B9" s="3066"/>
      <c r="C9" s="3063"/>
      <c r="D9" s="3063"/>
      <c r="E9" s="3063"/>
      <c r="F9" s="3064"/>
      <c r="G9" s="3064"/>
    </row>
    <row r="10" ht="15.6" spans="1:7">
      <c r="A10" s="3062" t="s">
        <v>591</v>
      </c>
      <c r="B10" s="3066"/>
      <c r="C10" s="3063"/>
      <c r="D10" s="3063"/>
      <c r="E10" s="3063"/>
      <c r="F10" s="3064"/>
      <c r="G10" s="3064"/>
    </row>
    <row r="11" ht="15.6" spans="1:7">
      <c r="A11" s="3062" t="s">
        <v>592</v>
      </c>
      <c r="B11" s="3066"/>
      <c r="C11" s="3063"/>
      <c r="D11" s="3063"/>
      <c r="E11" s="3063"/>
      <c r="F11" s="3064"/>
      <c r="G11" s="3064"/>
    </row>
    <row r="12" ht="15.6" spans="1:7">
      <c r="A12" s="3063"/>
      <c r="B12" s="3063"/>
      <c r="C12" s="3063"/>
      <c r="D12" s="3063"/>
      <c r="E12" s="3063"/>
      <c r="F12" s="3064"/>
      <c r="G12" s="3064"/>
    </row>
    <row r="13" ht="31.2" spans="1:9">
      <c r="A13" s="3067" t="s">
        <v>593</v>
      </c>
      <c r="B13" s="3068" t="s">
        <v>579</v>
      </c>
      <c r="C13" s="3068" t="s">
        <v>580</v>
      </c>
      <c r="D13" s="3068" t="s">
        <v>594</v>
      </c>
      <c r="E13" s="3062" t="s">
        <v>584</v>
      </c>
      <c r="F13" s="3062" t="s">
        <v>585</v>
      </c>
      <c r="G13" s="3068" t="s">
        <v>595</v>
      </c>
      <c r="H13" s="3068" t="s">
        <v>596</v>
      </c>
      <c r="I13" s="3068" t="s">
        <v>597</v>
      </c>
    </row>
    <row r="14" ht="15.6" spans="1:9">
      <c r="A14" s="3069" t="s">
        <v>598</v>
      </c>
      <c r="B14" s="3070">
        <f>项目基本情况!C12</f>
        <v>644.12</v>
      </c>
      <c r="C14" s="3070">
        <f>项目基本情况!C13</f>
        <v>429.62</v>
      </c>
      <c r="D14" s="3070">
        <f ca="1">ROUND(E14*B14/10000,0)</f>
        <v>2739</v>
      </c>
      <c r="E14" s="3070">
        <f ca="1">结果表!G20</f>
        <v>42518</v>
      </c>
      <c r="F14" s="3070">
        <f ca="1">ROUND(D14*10000/C14,0)</f>
        <v>63754</v>
      </c>
      <c r="G14" s="3070">
        <f ca="1">IF('数据-取费表'!B3="万元",IF(A14="估价对象1（结果表）",结果表!D125,'结果表 (1修多)'!D129),IF(A14="估价对象1（结果表）",结果表!D125,'结果表 (1修多)'!D129)/10000)</f>
        <v>2739</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599</v>
      </c>
      <c r="B15" s="3072"/>
      <c r="C15" s="3072"/>
      <c r="D15" s="3070"/>
      <c r="E15" s="3070">
        <f>[2]结果表!$G$20</f>
        <v>31546</v>
      </c>
      <c r="F15" s="3070" t="e">
        <f t="shared" ref="F15:F23" si="2">ROUND(D15*10000/C15,0)</f>
        <v>#DIV/0!</v>
      </c>
      <c r="G15" s="3073"/>
      <c r="H15" s="3073"/>
      <c r="I15" s="3072"/>
    </row>
    <row r="16" ht="15.6" spans="1:9">
      <c r="A16" s="3071" t="s">
        <v>600</v>
      </c>
      <c r="B16" s="3072"/>
      <c r="C16" s="3072"/>
      <c r="D16" s="3070"/>
      <c r="E16" s="3070">
        <f>[3]结果表!$G$20</f>
        <v>32059</v>
      </c>
      <c r="F16" s="3070" t="e">
        <f t="shared" si="2"/>
        <v>#DIV/0!</v>
      </c>
      <c r="G16" s="3073"/>
      <c r="H16" s="3073"/>
      <c r="I16" s="3072"/>
    </row>
    <row r="17" ht="15.6" spans="1:9">
      <c r="A17" s="3071" t="s">
        <v>601</v>
      </c>
      <c r="B17" s="3072"/>
      <c r="C17" s="3072"/>
      <c r="D17" s="3070"/>
      <c r="E17" s="3070">
        <f>[4]结果表!$G$20</f>
        <v>32196</v>
      </c>
      <c r="F17" s="3070" t="e">
        <f t="shared" si="2"/>
        <v>#DIV/0!</v>
      </c>
      <c r="G17" s="3073"/>
      <c r="H17" s="3073"/>
      <c r="I17" s="3072"/>
    </row>
    <row r="18" ht="15.6" spans="1:9">
      <c r="A18" s="3071" t="s">
        <v>602</v>
      </c>
      <c r="B18" s="3072"/>
      <c r="C18" s="3072"/>
      <c r="D18" s="3072"/>
      <c r="E18" s="3070" t="e">
        <f t="shared" ref="E18:E23" si="3">ROUND(D18*10000/B18,0)</f>
        <v>#DIV/0!</v>
      </c>
      <c r="F18" s="3070" t="e">
        <f t="shared" si="2"/>
        <v>#DIV/0!</v>
      </c>
      <c r="G18" s="3072"/>
      <c r="H18" s="3072"/>
      <c r="I18" s="3072"/>
    </row>
    <row r="19" ht="15.6" spans="1:9">
      <c r="A19" s="3071" t="s">
        <v>603</v>
      </c>
      <c r="B19" s="3072"/>
      <c r="C19" s="3072"/>
      <c r="D19" s="3072"/>
      <c r="E19" s="3070" t="e">
        <f t="shared" si="3"/>
        <v>#DIV/0!</v>
      </c>
      <c r="F19" s="3070" t="e">
        <f t="shared" si="2"/>
        <v>#DIV/0!</v>
      </c>
      <c r="G19" s="3072"/>
      <c r="H19" s="3072"/>
      <c r="I19" s="3072"/>
    </row>
    <row r="20" ht="15.6" spans="1:9">
      <c r="A20" s="3071" t="s">
        <v>604</v>
      </c>
      <c r="B20" s="3072"/>
      <c r="C20" s="3072"/>
      <c r="D20" s="3072"/>
      <c r="E20" s="3070" t="e">
        <f t="shared" si="3"/>
        <v>#DIV/0!</v>
      </c>
      <c r="F20" s="3070" t="e">
        <f t="shared" si="2"/>
        <v>#DIV/0!</v>
      </c>
      <c r="G20" s="3072"/>
      <c r="H20" s="3072"/>
      <c r="I20" s="3072"/>
    </row>
    <row r="21" ht="15.6" spans="1:9">
      <c r="A21" s="3071" t="s">
        <v>605</v>
      </c>
      <c r="B21" s="3072"/>
      <c r="C21" s="3072"/>
      <c r="D21" s="3072"/>
      <c r="E21" s="3070" t="e">
        <f t="shared" si="3"/>
        <v>#DIV/0!</v>
      </c>
      <c r="F21" s="3070" t="e">
        <f t="shared" si="2"/>
        <v>#DIV/0!</v>
      </c>
      <c r="G21" s="3072"/>
      <c r="H21" s="3072"/>
      <c r="I21" s="3072"/>
    </row>
    <row r="22" ht="15.6" spans="1:9">
      <c r="A22" s="3071" t="s">
        <v>606</v>
      </c>
      <c r="B22" s="3072"/>
      <c r="C22" s="3072"/>
      <c r="D22" s="3072"/>
      <c r="E22" s="3070" t="e">
        <f t="shared" si="3"/>
        <v>#DIV/0!</v>
      </c>
      <c r="F22" s="3070" t="e">
        <f t="shared" si="2"/>
        <v>#DIV/0!</v>
      </c>
      <c r="G22" s="3072"/>
      <c r="H22" s="3072"/>
      <c r="I22" s="3072"/>
    </row>
    <row r="23" ht="15.6" spans="1:9">
      <c r="A23" s="3071" t="s">
        <v>607</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A4" workbookViewId="0">
      <selection activeCell="F26" sqref="F26"/>
    </sheetView>
  </sheetViews>
  <sheetFormatPr defaultColWidth="12.6296296296296" defaultRowHeight="21.75" customHeight="1"/>
  <cols>
    <col min="1" max="2" width="12.6296296296296" style="2603"/>
    <col min="3" max="4" width="12.6296296296296" style="2603" customWidth="1"/>
    <col min="5" max="9" width="12.6296296296296" style="2603"/>
    <col min="10" max="10" width="3.6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609</v>
      </c>
      <c r="B3" s="2225"/>
      <c r="C3" s="2225"/>
      <c r="D3" s="2225"/>
      <c r="E3" s="2225"/>
      <c r="F3" s="2225"/>
      <c r="G3" s="2225"/>
      <c r="H3" s="2225"/>
      <c r="I3" s="2225"/>
      <c r="J3" s="2739"/>
    </row>
    <row r="4" ht="14.4" spans="1:15">
      <c r="A4" s="2609" t="s">
        <v>610</v>
      </c>
      <c r="B4" s="2609" t="s">
        <v>611</v>
      </c>
      <c r="C4" s="2610" t="s">
        <v>612</v>
      </c>
      <c r="D4" s="2610" t="s">
        <v>613</v>
      </c>
      <c r="E4" s="2207" t="s">
        <v>614</v>
      </c>
      <c r="F4" s="2208"/>
      <c r="G4" s="2208"/>
      <c r="H4" s="2208"/>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spans="1:10">
      <c r="A14" s="1314" t="s">
        <v>628</v>
      </c>
      <c r="B14" s="1314">
        <v>30</v>
      </c>
      <c r="C14" s="2611">
        <v>6</v>
      </c>
      <c r="D14" s="2612">
        <v>4</v>
      </c>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6</v>
      </c>
      <c r="D17" s="2616">
        <f>SUM(D5:D16)</f>
        <v>4</v>
      </c>
      <c r="E17" s="2617"/>
      <c r="F17" s="2617"/>
      <c r="G17" s="2617"/>
      <c r="H17" s="2617"/>
      <c r="I17" s="2617"/>
      <c r="J17" s="2741"/>
    </row>
    <row r="18" ht="30" customHeight="1" spans="1:10">
      <c r="A18" s="2618" t="s">
        <v>633</v>
      </c>
      <c r="B18" s="2619"/>
      <c r="C18" s="2620">
        <f>ROUND(C17/SUM(C17:D17),2)</f>
        <v>0.6</v>
      </c>
      <c r="D18" s="2620">
        <f>1-C18</f>
        <v>0.4</v>
      </c>
      <c r="E18" s="2621" t="s">
        <v>634</v>
      </c>
      <c r="F18" s="2622"/>
      <c r="G18" s="2622"/>
      <c r="H18" s="2622"/>
      <c r="I18" s="2622"/>
      <c r="J18" s="2741"/>
    </row>
    <row r="19" ht="14.4" spans="1:10">
      <c r="A19" s="2623" t="s">
        <v>635</v>
      </c>
      <c r="B19" s="2624" t="s">
        <v>636</v>
      </c>
      <c r="C19" s="2625">
        <f ca="1">SUMIF(INDIRECT("'"&amp;C4&amp;"'"&amp;"!A:A"),结果表!B19,INDIRECT("'"&amp;C4&amp;"'"&amp;"!B:B"))</f>
        <v>3181</v>
      </c>
      <c r="D19" s="2626">
        <f ca="1">SUMIF(INDIRECT("'"&amp;D4&amp;"'"&amp;"!A:A"),结果表!B19,INDIRECT("'"&amp;D4&amp;"'"&amp;"!B:B"))</f>
        <v>2075</v>
      </c>
      <c r="E19" s="2623" t="s">
        <v>637</v>
      </c>
      <c r="F19" s="2624" t="s">
        <v>636</v>
      </c>
      <c r="G19" s="2627">
        <f ca="1">ROUND(C19*$C$18+D19*$D$18,0)</f>
        <v>2739</v>
      </c>
      <c r="H19" s="2628" t="str">
        <f>'数据-取费表'!B3</f>
        <v>万元</v>
      </c>
      <c r="I19" s="3003"/>
      <c r="J19" s="3004"/>
    </row>
    <row r="20" ht="14.4" spans="1:10">
      <c r="A20" s="2629"/>
      <c r="B20" s="1331" t="s">
        <v>638</v>
      </c>
      <c r="C20" s="1238">
        <f ca="1">SUMIF(INDIRECT("'"&amp;C4&amp;"'"&amp;"!A:A"),结果表!B20,INDIRECT("'"&amp;C4&amp;"'"&amp;"!B:B"))</f>
        <v>49383</v>
      </c>
      <c r="D20" s="1768">
        <f ca="1">SUMIF(INDIRECT("'"&amp;D4&amp;"'"&amp;"!A:A"),结果表!B20,INDIRECT("'"&amp;D4&amp;"'"&amp;"!B:B"))</f>
        <v>32220</v>
      </c>
      <c r="E20" s="2629"/>
      <c r="F20" s="1331" t="s">
        <v>638</v>
      </c>
      <c r="G20" s="1262">
        <f ca="1">ROUND(C20*$C$18+D20*$D$18,0)</f>
        <v>42518</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f ca="1">IF(C19&lt;D19,D19/C19-1,C19/D19-1)</f>
        <v>0.533012048192771</v>
      </c>
      <c r="E22" s="2326"/>
      <c r="F22" s="2972"/>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c r="B27" s="2645">
        <v>0</v>
      </c>
      <c r="C27" s="2645">
        <v>0</v>
      </c>
      <c r="D27" s="2646">
        <f>ROUND(C27*B27/10000,0)</f>
        <v>0</v>
      </c>
      <c r="E27" s="2326"/>
      <c r="F27" s="2326"/>
      <c r="G27" s="2326"/>
      <c r="H27" s="2326"/>
      <c r="I27" s="2326"/>
      <c r="J27" s="2741"/>
    </row>
    <row r="28" ht="14.4" spans="1:10">
      <c r="A28" s="2644"/>
      <c r="B28" s="2645"/>
      <c r="C28" s="2645"/>
      <c r="D28" s="2646">
        <f t="shared" ref="D28:D29" si="0">ROUND(C28*B28/10000,0)</f>
        <v>0</v>
      </c>
      <c r="E28" s="2326"/>
      <c r="F28" s="2326"/>
      <c r="G28" s="2326"/>
      <c r="H28" s="2326"/>
      <c r="I28" s="2326"/>
      <c r="J28" s="2741"/>
    </row>
    <row r="29" ht="14.4" spans="1:10">
      <c r="A29" s="2644"/>
      <c r="B29" s="2645"/>
      <c r="C29" s="2645"/>
      <c r="D29" s="2646">
        <f t="shared" si="0"/>
        <v>0</v>
      </c>
      <c r="E29" s="2326"/>
      <c r="F29" s="2326"/>
      <c r="G29" s="2326"/>
      <c r="H29" s="2326"/>
      <c r="I29" s="2326"/>
      <c r="J29" s="2741"/>
    </row>
    <row r="30" ht="15.15" spans="1:10">
      <c r="A30" s="2649" t="s">
        <v>646</v>
      </c>
      <c r="B30" s="2649"/>
      <c r="C30" s="2649"/>
      <c r="D30" s="2649"/>
      <c r="E30" s="2650" t="s">
        <v>647</v>
      </c>
      <c r="F30" s="2617"/>
      <c r="G30" s="2617"/>
      <c r="H30" s="2617"/>
      <c r="I30" s="2617"/>
      <c r="J30" s="2741"/>
    </row>
    <row r="31" s="2599" customFormat="1" ht="26.45"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649</v>
      </c>
      <c r="B32" s="2974" t="str">
        <f>'数据-取费表'!B4</f>
        <v>楼面单价</v>
      </c>
      <c r="C32" s="2975">
        <f ca="1">IF(B32="总价",G19-C24,G20-C25)</f>
        <v>42518</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650</v>
      </c>
      <c r="B33" s="2210"/>
      <c r="C33" s="2979"/>
      <c r="D33" s="2980" t="s">
        <v>651</v>
      </c>
      <c r="E33" s="2981" t="s">
        <v>652</v>
      </c>
      <c r="F33" s="2982" t="str">
        <f>IF(B32="楼面单价","取值（单价）","取值（总价）")</f>
        <v>取值（单价）</v>
      </c>
      <c r="G33" s="2326"/>
      <c r="H33" s="2326"/>
      <c r="I33" s="2326"/>
      <c r="J33" s="2741"/>
    </row>
    <row r="34" ht="14.4" spans="1:10">
      <c r="A34" s="2983"/>
      <c r="B34" s="2984" t="s">
        <v>653</v>
      </c>
      <c r="C34" s="2985">
        <f ca="1">IF(D33="自定义",F34,C32-C35)</f>
        <v>2000</v>
      </c>
      <c r="D34" s="2986">
        <f ca="1">IF(D33="自定义",ROUND(C34/C32,3),1-D35)</f>
        <v>0.047</v>
      </c>
      <c r="E34" s="2987" t="s">
        <v>654</v>
      </c>
      <c r="F34" s="2988">
        <v>2000</v>
      </c>
      <c r="G34" s="2326"/>
      <c r="H34" s="2326"/>
      <c r="I34" s="2326"/>
      <c r="J34" s="2741"/>
    </row>
    <row r="35" ht="15.15" spans="1:10">
      <c r="A35" s="2666"/>
      <c r="B35" s="2989" t="s">
        <v>655</v>
      </c>
      <c r="C35" s="2990">
        <f ca="1">IF(D33="自定义",F35,ROUND(C32*D35,0))</f>
        <v>4460</v>
      </c>
      <c r="D35" s="2991">
        <f ca="1">IF(D33="自定义",ROUND(C35/C32,3),IF(D33="成本法成本比率",成本法!C56,IF(D33="收益法收益比率",收益法!J38,收益法!J41)))</f>
        <v>0.105</v>
      </c>
      <c r="E35" s="2992" t="s">
        <v>656</v>
      </c>
      <c r="F35" s="2687">
        <v>4460</v>
      </c>
      <c r="G35" s="2326"/>
      <c r="H35" s="2326"/>
      <c r="I35" s="2326"/>
      <c r="J35" s="2741"/>
    </row>
    <row r="36" ht="15.15" spans="1:10">
      <c r="A36" s="1142" t="s">
        <v>657</v>
      </c>
      <c r="B36" s="2664" t="s">
        <v>658</v>
      </c>
      <c r="C36" s="2669">
        <v>0</v>
      </c>
      <c r="D36" s="2670"/>
      <c r="E36" s="2671"/>
      <c r="F36" s="2671"/>
      <c r="G36" s="2326"/>
      <c r="H36" s="2326"/>
      <c r="I36" s="2326"/>
      <c r="J36" s="2741"/>
    </row>
    <row r="37" ht="15.15" spans="1:10">
      <c r="A37" s="1154"/>
      <c r="B37" s="1313" t="s">
        <v>659</v>
      </c>
      <c r="C37" s="2672">
        <v>0</v>
      </c>
      <c r="D37" s="2673"/>
      <c r="E37" s="2673"/>
      <c r="F37" s="2671"/>
      <c r="G37" s="2673"/>
      <c r="H37" s="2673"/>
      <c r="I37" s="2673"/>
      <c r="J37" s="2746"/>
    </row>
    <row r="38" ht="15.15" spans="1:10">
      <c r="A38" s="2674"/>
      <c r="B38" s="2667" t="s">
        <v>660</v>
      </c>
      <c r="C38" s="2675">
        <v>0</v>
      </c>
      <c r="D38" s="2676" t="s">
        <v>661</v>
      </c>
      <c r="E38" s="2673"/>
      <c r="F38" s="2671"/>
      <c r="G38" s="2673"/>
      <c r="H38" s="2673"/>
      <c r="I38" s="2673"/>
      <c r="J38" s="2746"/>
    </row>
    <row r="39" ht="14.4" spans="1:10">
      <c r="A39" s="2629" t="s">
        <v>662</v>
      </c>
      <c r="B39" s="2677" t="s">
        <v>643</v>
      </c>
      <c r="C39" s="2678" t="s">
        <v>644</v>
      </c>
      <c r="D39" s="2678" t="s">
        <v>663</v>
      </c>
      <c r="E39" s="2679" t="s">
        <v>645</v>
      </c>
      <c r="F39" s="2671"/>
      <c r="G39" s="2673"/>
      <c r="H39" s="2673"/>
      <c r="I39" s="2673"/>
      <c r="J39" s="2746"/>
    </row>
    <row r="40" ht="14.4" spans="1:10">
      <c r="A40" s="2680" t="s">
        <v>664</v>
      </c>
      <c r="B40" s="2681"/>
      <c r="C40" s="2682"/>
      <c r="D40" s="2682"/>
      <c r="E40" s="2683"/>
      <c r="F40" s="2671"/>
      <c r="G40" s="2673"/>
      <c r="H40" s="2673"/>
      <c r="I40" s="2673"/>
      <c r="J40" s="2746"/>
    </row>
    <row r="41" ht="14.4" spans="1:10">
      <c r="A41" s="2680" t="s">
        <v>665</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666</v>
      </c>
      <c r="B44" s="2691"/>
      <c r="C44" s="2691"/>
      <c r="D44" s="2994"/>
      <c r="E44" s="2994"/>
      <c r="F44" s="2995"/>
      <c r="G44" s="2995"/>
      <c r="H44" s="2995"/>
      <c r="I44" s="2749" t="s">
        <v>667</v>
      </c>
      <c r="J44" s="3008"/>
      <c r="K44" s="2751" t="s">
        <v>668</v>
      </c>
      <c r="L44" s="2752"/>
      <c r="M44" s="2752"/>
      <c r="N44" s="2752"/>
      <c r="O44" s="2752"/>
      <c r="P44" s="2752"/>
      <c r="Q44" s="2602"/>
    </row>
    <row r="45" ht="14.25" customHeight="1" spans="1:17">
      <c r="A45" s="2693" t="s">
        <v>669</v>
      </c>
      <c r="B45" s="2694"/>
      <c r="C45" s="2695"/>
      <c r="D45" s="2186">
        <f ca="1">ROUND(I102*F45,0)</f>
        <v>2739</v>
      </c>
      <c r="E45" s="2275" t="s">
        <v>670</v>
      </c>
      <c r="F45" s="2696">
        <v>1</v>
      </c>
      <c r="G45" s="2697" t="s">
        <v>671</v>
      </c>
      <c r="H45" s="2326"/>
      <c r="I45" s="2326"/>
      <c r="J45" s="2741"/>
      <c r="K45" s="3009" t="s">
        <v>672</v>
      </c>
      <c r="L45" s="3009"/>
      <c r="M45" s="3009"/>
      <c r="N45" s="3009"/>
      <c r="O45" s="3009"/>
      <c r="P45" s="3009"/>
      <c r="Q45" s="2602"/>
    </row>
    <row r="46" ht="14.25" customHeight="1" spans="1:17">
      <c r="A46" s="2698" t="s">
        <v>673</v>
      </c>
      <c r="B46" s="2699"/>
      <c r="C46" s="2699"/>
      <c r="D46" s="2699"/>
      <c r="E46" s="2699"/>
      <c r="F46" s="2699"/>
      <c r="G46" s="2700"/>
      <c r="H46" s="2701"/>
      <c r="I46" s="2326"/>
      <c r="J46" s="2741"/>
      <c r="K46" s="3010">
        <v>1</v>
      </c>
      <c r="L46" s="3011" t="s">
        <v>97</v>
      </c>
      <c r="M46" s="3011"/>
      <c r="N46" s="3012" t="str">
        <f>项目基本情况!B1</f>
        <v>北京市房地产抵押价值预评估</v>
      </c>
      <c r="O46" s="3012"/>
      <c r="P46" s="3012"/>
      <c r="Q46" s="2602"/>
    </row>
    <row r="47" ht="12" customHeight="1" spans="1:17">
      <c r="A47" s="2702" t="s">
        <v>674</v>
      </c>
      <c r="B47" s="2703"/>
      <c r="C47" s="2704"/>
      <c r="D47" s="2224" t="s">
        <v>675</v>
      </c>
      <c r="E47" s="2174" t="s">
        <v>676</v>
      </c>
      <c r="F47" s="2392" t="s">
        <v>677</v>
      </c>
      <c r="G47" s="2705" t="s">
        <v>678</v>
      </c>
      <c r="H47" s="2701"/>
      <c r="I47" s="2326"/>
      <c r="J47" s="2741"/>
      <c r="K47" s="3010">
        <v>2</v>
      </c>
      <c r="L47" s="3011" t="s">
        <v>679</v>
      </c>
      <c r="M47" s="3011"/>
      <c r="N47" s="3013">
        <f>'数据-取费表'!B2</f>
        <v>44883</v>
      </c>
      <c r="O47" s="3013"/>
      <c r="P47" s="3013"/>
      <c r="Q47" s="2602"/>
    </row>
    <row r="48" ht="38.4" spans="1:17">
      <c r="A48" s="2706" t="s">
        <v>680</v>
      </c>
      <c r="B48" s="2229"/>
      <c r="C48" s="2229"/>
      <c r="D48" s="2288">
        <f ca="1">IF(H48="情况1",0,IF(H48="情况2",D52,IF(H48="情况3",D53,IF(H48="情况4",D54))))</f>
        <v>125</v>
      </c>
      <c r="E48" s="2229" t="str">
        <f>IF(H48="情况4","(销售额-原购置价)×税（费）率","销售额×税（费）率")</f>
        <v>(销售额-原购置价)×税（费）率</v>
      </c>
      <c r="F48" s="2707">
        <f>IF(H48="情况1","免征",'数据-取费表'!E29)</f>
        <v>0.055</v>
      </c>
      <c r="G48" s="2708" t="s">
        <v>681</v>
      </c>
      <c r="H48" s="2709" t="s">
        <v>682</v>
      </c>
      <c r="I48" s="2701"/>
      <c r="J48" s="2758"/>
      <c r="K48" s="3010">
        <v>3</v>
      </c>
      <c r="L48" s="3011" t="s">
        <v>683</v>
      </c>
      <c r="M48" s="3011"/>
      <c r="N48" s="3012">
        <f ca="1">I102</f>
        <v>2739</v>
      </c>
      <c r="O48" s="3012"/>
      <c r="P48" s="3012"/>
      <c r="Q48" s="2602"/>
    </row>
    <row r="49" ht="25.5" customHeight="1" spans="1:17">
      <c r="A49" s="2706" t="s">
        <v>684</v>
      </c>
      <c r="B49" s="2208" t="s">
        <v>685</v>
      </c>
      <c r="C49" s="2208"/>
      <c r="D49" s="2710">
        <v>0</v>
      </c>
      <c r="E49" s="2235" t="s">
        <v>686</v>
      </c>
      <c r="F49" s="2711" t="s">
        <v>121</v>
      </c>
      <c r="G49" s="2712"/>
      <c r="H49" s="2713" t="s">
        <v>687</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2739</v>
      </c>
      <c r="O49" s="3012"/>
      <c r="P49" s="3012"/>
      <c r="Q49" s="2602"/>
    </row>
    <row r="50" ht="25.5" customHeight="1" spans="1:17">
      <c r="A50" s="2714"/>
      <c r="B50" s="2208" t="s">
        <v>688</v>
      </c>
      <c r="C50" s="2208"/>
      <c r="D50" s="2715"/>
      <c r="E50" s="2245"/>
      <c r="F50" s="2711"/>
      <c r="G50" s="2716"/>
      <c r="H50" s="2717" t="s">
        <v>689</v>
      </c>
      <c r="I50" s="2760"/>
      <c r="J50" s="2761"/>
      <c r="K50" s="3011" t="s">
        <v>690</v>
      </c>
      <c r="L50" s="3011"/>
      <c r="M50" s="3011"/>
      <c r="N50" s="3011"/>
      <c r="O50" s="3011"/>
      <c r="P50" s="3011"/>
      <c r="Q50" s="2602"/>
    </row>
    <row r="51" ht="20.45" customHeight="1" spans="1:17">
      <c r="A51" s="2718"/>
      <c r="B51" s="2208" t="s">
        <v>691</v>
      </c>
      <c r="C51" s="2208"/>
      <c r="D51" s="2224"/>
      <c r="E51" s="467"/>
      <c r="F51" s="2711"/>
      <c r="G51" s="2719"/>
      <c r="H51" s="2717" t="s">
        <v>692</v>
      </c>
      <c r="I51" s="2760"/>
      <c r="J51" s="2761"/>
      <c r="K51" s="3011" t="s">
        <v>693</v>
      </c>
      <c r="L51" s="3011" t="s">
        <v>694</v>
      </c>
      <c r="M51" s="3011"/>
      <c r="N51" s="3011" t="s">
        <v>695</v>
      </c>
      <c r="O51" s="3011" t="s">
        <v>696</v>
      </c>
      <c r="P51" s="3011" t="s">
        <v>697</v>
      </c>
      <c r="Q51" s="2602"/>
    </row>
    <row r="52" ht="24" customHeight="1" spans="1:17">
      <c r="A52" s="2720" t="s">
        <v>698</v>
      </c>
      <c r="B52" s="2208" t="s">
        <v>699</v>
      </c>
      <c r="C52" s="2208"/>
      <c r="D52" s="2224">
        <f ca="1">ROUND(D45*'数据-取费表'!E29/(1+'数据-取费表'!F30),0)</f>
        <v>143</v>
      </c>
      <c r="E52" s="2229" t="s">
        <v>700</v>
      </c>
      <c r="F52" s="2721">
        <f>'数据-取费表'!E29</f>
        <v>0.055</v>
      </c>
      <c r="G52" s="2722"/>
      <c r="H52" s="2326"/>
      <c r="I52" s="2762"/>
      <c r="J52" s="2761"/>
      <c r="K52" s="3010">
        <v>1</v>
      </c>
      <c r="L52" s="3010" t="s">
        <v>701</v>
      </c>
      <c r="M52" s="3010"/>
      <c r="N52" s="3014">
        <f ca="1">D48</f>
        <v>125</v>
      </c>
      <c r="O52" s="3010" t="str">
        <f>E48</f>
        <v>(销售额-原购置价)×税（费）率</v>
      </c>
      <c r="P52" s="3015">
        <f>F48</f>
        <v>0.055</v>
      </c>
      <c r="Q52" s="2602"/>
    </row>
    <row r="53" ht="12" customHeight="1" spans="1:17">
      <c r="A53" s="2720" t="s">
        <v>702</v>
      </c>
      <c r="B53" s="2207" t="s">
        <v>703</v>
      </c>
      <c r="C53" s="2723"/>
      <c r="D53" s="2224">
        <f ca="1">ROUND(D45*'数据-取费表'!E29/(1+'数据-取费表'!F30),0)</f>
        <v>143</v>
      </c>
      <c r="E53" s="2229" t="s">
        <v>700</v>
      </c>
      <c r="F53" s="2721">
        <f>'数据-取费表'!E29</f>
        <v>0.055</v>
      </c>
      <c r="G53" s="2722"/>
      <c r="H53" s="2326"/>
      <c r="I53" s="2762"/>
      <c r="J53" s="2761"/>
      <c r="K53" s="3010">
        <v>2</v>
      </c>
      <c r="L53" s="3010" t="s">
        <v>704</v>
      </c>
      <c r="M53" s="3010"/>
      <c r="N53" s="3014">
        <f ca="1" t="shared" ref="N53:P54" si="1">D55</f>
        <v>1</v>
      </c>
      <c r="O53" s="3010" t="str">
        <f t="shared" si="1"/>
        <v>销售额×税（费）率</v>
      </c>
      <c r="P53" s="3015">
        <f t="shared" si="1"/>
        <v>0.0005</v>
      </c>
      <c r="Q53" s="2602"/>
    </row>
    <row r="54" ht="12" customHeight="1" spans="1:17">
      <c r="A54" s="2720" t="s">
        <v>705</v>
      </c>
      <c r="B54" s="2207" t="s">
        <v>706</v>
      </c>
      <c r="C54" s="2723"/>
      <c r="D54" s="2224">
        <f ca="1">C68</f>
        <v>125</v>
      </c>
      <c r="E54" s="467" t="s">
        <v>707</v>
      </c>
      <c r="F54" s="2721">
        <f>'数据-取费表'!E29</f>
        <v>0.055</v>
      </c>
      <c r="G54" s="2722"/>
      <c r="H54" s="2724"/>
      <c r="I54" s="2762"/>
      <c r="J54" s="2761"/>
      <c r="K54" s="3010">
        <v>3</v>
      </c>
      <c r="L54" s="3010" t="s">
        <v>708</v>
      </c>
      <c r="M54" s="3010"/>
      <c r="N54" s="3014">
        <f ca="1" t="shared" si="1"/>
        <v>1128</v>
      </c>
      <c r="O54" s="3010" t="str">
        <f t="shared" si="1"/>
        <v>增值额×税（费）率</v>
      </c>
      <c r="P54" s="3016" t="str">
        <f t="shared" si="1"/>
        <v>——</v>
      </c>
      <c r="Q54" s="2602"/>
    </row>
    <row r="55" ht="24" customHeight="1" spans="1:17">
      <c r="A55" s="2720" t="s">
        <v>709</v>
      </c>
      <c r="B55" s="2229"/>
      <c r="C55" s="2229"/>
      <c r="D55" s="2288">
        <f ca="1">IF(H55="个人住宅",0,ROUND(D45*I55,0))</f>
        <v>1</v>
      </c>
      <c r="E55" s="2229" t="s">
        <v>710</v>
      </c>
      <c r="F55" s="2721">
        <f>IF(H55="正常",I55,"免征")</f>
        <v>0.0005</v>
      </c>
      <c r="G55" s="2722"/>
      <c r="H55" s="2709" t="s">
        <v>711</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712</v>
      </c>
      <c r="B56" s="2229"/>
      <c r="C56" s="2229"/>
      <c r="D56" s="2288">
        <f ca="1">IF(H56="个人住宅",D57,D58)</f>
        <v>1128</v>
      </c>
      <c r="E56" s="2229" t="s">
        <v>713</v>
      </c>
      <c r="F56" s="2721" t="str">
        <f>IF(H56="正常",F58,"免征")</f>
        <v>——</v>
      </c>
      <c r="G56" s="2725" t="s">
        <v>714</v>
      </c>
      <c r="H56" s="2726" t="s">
        <v>711</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684</v>
      </c>
      <c r="B57" s="2207" t="s">
        <v>715</v>
      </c>
      <c r="C57" s="2723"/>
      <c r="D57" s="2710">
        <v>0</v>
      </c>
      <c r="E57" s="2235" t="s">
        <v>686</v>
      </c>
      <c r="F57" s="2174"/>
      <c r="G57" s="2722"/>
      <c r="H57" s="2727"/>
      <c r="I57" s="2727"/>
      <c r="J57" s="2761"/>
      <c r="K57" s="3010">
        <f>IF(AND(K55="",K56=""),4,IF(项目基本情况!I6="上海银行",K56+1,K55+1))</f>
        <v>4</v>
      </c>
      <c r="L57" s="3010" t="s">
        <v>433</v>
      </c>
      <c r="M57" s="3023" t="s">
        <v>716</v>
      </c>
      <c r="N57" s="3024"/>
      <c r="O57" s="3025">
        <f ca="1">SUMIF(N52:N56,"&lt;9e307")</f>
        <v>1254</v>
      </c>
      <c r="P57" s="3026"/>
      <c r="Q57" s="2788">
        <f ca="1">O57/N49</f>
        <v>0.457831325301205</v>
      </c>
    </row>
    <row r="58" ht="25.2" spans="1:17">
      <c r="A58" s="2720" t="s">
        <v>698</v>
      </c>
      <c r="B58" s="2207" t="s">
        <v>717</v>
      </c>
      <c r="C58" s="2208"/>
      <c r="D58" s="2288">
        <f ca="1">IF(H58="转让取得",C81,C97)</f>
        <v>1128</v>
      </c>
      <c r="E58" s="2229" t="s">
        <v>713</v>
      </c>
      <c r="F58" s="2174" t="s">
        <v>121</v>
      </c>
      <c r="G58" s="2722"/>
      <c r="H58" s="2726" t="s">
        <v>718</v>
      </c>
      <c r="I58" s="2727"/>
      <c r="J58" s="2761"/>
      <c r="K58" s="3010"/>
      <c r="L58" s="3010"/>
      <c r="M58" s="3023" t="s">
        <v>719</v>
      </c>
      <c r="N58" s="3027"/>
      <c r="O58" s="3028" t="str">
        <f ca="1">IF(H19="元",NUMBERSTRING(INT(O57),2)&amp;"元整",NUMBERSTRING(INT(O57*10000),2)&amp;"元整")</f>
        <v>壹仟贰佰伍拾肆万元整</v>
      </c>
      <c r="P58" s="3029"/>
      <c r="Q58" s="2602"/>
    </row>
    <row r="59" ht="24.75" spans="1:17">
      <c r="A59" s="2728" t="s">
        <v>720</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721</v>
      </c>
      <c r="H59" s="2733" t="s">
        <v>722</v>
      </c>
      <c r="I59" s="3030" t="s">
        <v>723</v>
      </c>
      <c r="J59" s="2761"/>
      <c r="K59" s="3018">
        <f>K57+1</f>
        <v>5</v>
      </c>
      <c r="L59" s="3010" t="s">
        <v>589</v>
      </c>
      <c r="M59" s="3010" t="s">
        <v>716</v>
      </c>
      <c r="N59" s="3031"/>
      <c r="O59" s="3032">
        <f ca="1">N49-O57</f>
        <v>1485</v>
      </c>
      <c r="P59" s="3033"/>
      <c r="Q59" s="2602"/>
    </row>
    <row r="60" ht="12" customHeight="1" spans="1:17">
      <c r="A60" s="2734"/>
      <c r="B60" s="2606"/>
      <c r="C60" s="2606"/>
      <c r="D60" s="2606"/>
      <c r="E60" s="2844"/>
      <c r="F60" s="2998"/>
      <c r="G60" s="2998"/>
      <c r="H60" s="2999"/>
      <c r="I60" s="1853"/>
      <c r="K60" s="3034"/>
      <c r="L60" s="3010"/>
      <c r="M60" s="3023" t="s">
        <v>719</v>
      </c>
      <c r="N60" s="3027"/>
      <c r="O60" s="3028" t="str">
        <f ca="1">IF(H19="元",NUMBERSTRING(INT(O59),2)&amp;"元整",NUMBERSTRING(INT(O59*10000),2)&amp;"元整")</f>
        <v>壹仟肆佰捌拾伍万元整</v>
      </c>
      <c r="P60" s="3029"/>
      <c r="Q60" s="2602"/>
    </row>
    <row r="61" ht="15.15" spans="1:17">
      <c r="A61" s="3000" t="s">
        <v>724</v>
      </c>
      <c r="B61" s="3000"/>
      <c r="C61" s="3000"/>
      <c r="D61" s="3000"/>
      <c r="E61" s="3000"/>
      <c r="F61" s="2998"/>
      <c r="G61" s="2998"/>
      <c r="H61" s="3001"/>
      <c r="I61" s="1853"/>
      <c r="K61" s="3010">
        <f>K59+1</f>
        <v>6</v>
      </c>
      <c r="L61" s="3010" t="s">
        <v>725</v>
      </c>
      <c r="M61" s="3010"/>
      <c r="N61" s="3035"/>
      <c r="O61" s="3036">
        <f ca="1">IF(H19="元",ROUND(O59/项目基本情况!C12,0),ROUND(O59*10000/项目基本情况!C12,0))</f>
        <v>23055</v>
      </c>
      <c r="P61" s="3037"/>
      <c r="Q61" s="2602"/>
    </row>
    <row r="62" ht="14.4" spans="1:17">
      <c r="A62" s="479" t="s">
        <v>726</v>
      </c>
      <c r="B62" s="445"/>
      <c r="C62" s="445"/>
      <c r="D62" s="445" t="s">
        <v>727</v>
      </c>
      <c r="E62" s="2737" t="s">
        <v>678</v>
      </c>
      <c r="F62" s="2998"/>
      <c r="G62" s="2998"/>
      <c r="H62" s="3001"/>
      <c r="I62" s="1853"/>
      <c r="K62" s="3038"/>
      <c r="L62" s="3038"/>
      <c r="M62" s="3038"/>
      <c r="N62" s="3038"/>
      <c r="O62" s="3038"/>
      <c r="P62" s="3038"/>
      <c r="Q62" s="2602"/>
    </row>
    <row r="63" ht="14.4" spans="1:17">
      <c r="A63" s="2790">
        <v>1</v>
      </c>
      <c r="B63" s="2791" t="s">
        <v>728</v>
      </c>
      <c r="C63" s="2792">
        <f ca="1">ROUND((C64+C65)/(1+'数据-取费表'!F30),0)</f>
        <v>2609</v>
      </c>
      <c r="D63" s="2791"/>
      <c r="E63" s="2793"/>
      <c r="F63" s="2998"/>
      <c r="G63" s="2998"/>
      <c r="H63" s="3001"/>
      <c r="I63" s="1853"/>
      <c r="K63" s="3039" t="s">
        <v>729</v>
      </c>
      <c r="L63" s="3039" t="s">
        <v>730</v>
      </c>
      <c r="M63" s="3039">
        <f ca="1">IF(N49&gt;10000,N49*0.5%,IF(AND(N49&gt;1000,N49&lt;=10000),N49*1%,IF(AND(N49&gt;100,N49&lt;=1000),N49*3%,IF(AND(N49&gt;10,N49&lt;=100),N49*5%,N49*8%))))</f>
        <v>27.39</v>
      </c>
      <c r="N63" s="3040">
        <f ca="1">ROUND(M63,1)</f>
        <v>27.4</v>
      </c>
      <c r="O63" s="3038"/>
      <c r="P63" s="3038"/>
      <c r="Q63" s="2602"/>
    </row>
    <row r="64" ht="14.4" spans="1:17">
      <c r="A64" s="2794" t="s">
        <v>731</v>
      </c>
      <c r="B64" s="430" t="s">
        <v>732</v>
      </c>
      <c r="C64" s="2795">
        <f ca="1">D45</f>
        <v>2739</v>
      </c>
      <c r="D64" s="430" t="s">
        <v>121</v>
      </c>
      <c r="E64" s="2796"/>
      <c r="F64" s="2998"/>
      <c r="G64" s="2998"/>
      <c r="H64" s="3001"/>
      <c r="I64" s="1853"/>
      <c r="K64" s="3039"/>
      <c r="L64" s="3039" t="s">
        <v>733</v>
      </c>
      <c r="M64" s="3039">
        <f ca="1">IF(N49&gt;2000,N49*0.5%,IF(AND(N49&gt;1000,N49&lt;=2000),N49*0.6%,IF(AND(N49&gt;500,N49&lt;=1000),N49*0.7%,IF(AND(N49&gt;200,N49&lt;=500),N49*0.8%,IF(AND(N49&gt;100,N49&lt;=200),N49*0.9%,IF(AND(N49&gt;50,N49&lt;=100),N49*1%,IF(AND(N49&gt;20,N49&lt;=50),N49*1.5%,IF(AND(N49&gt;10,N49&lt;=20),N49*2%,IF(AND(N49&gt;1,N49&lt;=10),N49*2.5%)))))))))</f>
        <v>13.695</v>
      </c>
      <c r="N64" s="3040">
        <f ca="1" t="shared" ref="N64:N65" si="2">ROUND(M64,1)</f>
        <v>13.7</v>
      </c>
      <c r="O64" s="3038" t="s">
        <v>734</v>
      </c>
      <c r="P64" s="3038"/>
      <c r="Q64" s="2602"/>
    </row>
    <row r="65" ht="14.4" spans="1:17">
      <c r="A65" s="2794" t="s">
        <v>735</v>
      </c>
      <c r="B65" s="430" t="s">
        <v>736</v>
      </c>
      <c r="C65" s="2797"/>
      <c r="D65" s="430"/>
      <c r="E65" s="2796"/>
      <c r="F65" s="2998"/>
      <c r="G65" s="2998"/>
      <c r="H65" s="3001"/>
      <c r="I65" s="1853"/>
      <c r="K65" s="3039"/>
      <c r="L65" s="3039" t="s">
        <v>737</v>
      </c>
      <c r="M65" s="3039">
        <f ca="1">IF(N49&gt;1000,N49*0.1%,IF(AND(N49&gt;500,N49&lt;=1000),N49*0.5%,IF(AND(N49&gt;50,N49&lt;=500),N49*1%,IF(AND(N49&gt;1,N49&lt;=50),N49*1.5%))))</f>
        <v>2.739</v>
      </c>
      <c r="N65" s="3040">
        <f ca="1" t="shared" si="2"/>
        <v>2.7</v>
      </c>
      <c r="O65" s="3038" t="s">
        <v>734</v>
      </c>
      <c r="P65" s="3038"/>
      <c r="Q65" s="2602"/>
    </row>
    <row r="66" ht="25.2" spans="1:17">
      <c r="A66" s="2798" t="s">
        <v>738</v>
      </c>
      <c r="B66" s="536" t="s">
        <v>739</v>
      </c>
      <c r="C66" s="2799">
        <f>C75/1.05</f>
        <v>332.048761904762</v>
      </c>
      <c r="D66" s="536" t="s">
        <v>121</v>
      </c>
      <c r="E66" s="2800" t="s">
        <v>740</v>
      </c>
      <c r="F66" s="2998"/>
      <c r="G66" s="2998"/>
      <c r="H66" s="3001"/>
      <c r="I66" s="1853"/>
      <c r="K66" s="3039"/>
      <c r="L66" s="3039" t="s">
        <v>741</v>
      </c>
      <c r="M66" s="3039">
        <f ca="1">N49*0.5%</f>
        <v>13.695</v>
      </c>
      <c r="N66" s="3040">
        <f ca="1">IF(M66&gt;0.5,0.5,ROUND(M66,0))</f>
        <v>0.5</v>
      </c>
      <c r="O66" s="3038" t="s">
        <v>742</v>
      </c>
      <c r="P66" s="3038"/>
      <c r="Q66" s="2602"/>
    </row>
    <row r="67" ht="14.4" spans="1:17">
      <c r="A67" s="2798" t="s">
        <v>743</v>
      </c>
      <c r="B67" s="536" t="s">
        <v>744</v>
      </c>
      <c r="C67" s="2801">
        <f ca="1">C63-C66</f>
        <v>2276.95123809524</v>
      </c>
      <c r="D67" s="430" t="s">
        <v>121</v>
      </c>
      <c r="E67" s="2796"/>
      <c r="F67" s="2998"/>
      <c r="G67" s="2998"/>
      <c r="H67" s="3001"/>
      <c r="I67" s="1853"/>
      <c r="K67" s="3039"/>
      <c r="L67" s="3039" t="s">
        <v>745</v>
      </c>
      <c r="M67" s="3039">
        <f ca="1">IF(N49&gt;=10000,(8.25+(N49-10000)*0.01%),IF(AND(N49&gt;=8000,N49&lt;10000),(7.85+(N49-8000)*0.02%),IF(AND(N49&gt;=5000,N49&lt;8000),(6.65+(N49-5000)*0.04%),IF(AND(N49&gt;=2000,N49&lt;5000),(4.25+(PN49-2000)*0.08%),IF(AND(N49&gt;=1000,N49&lt;2000),(2.75+(N49-1000)*0.15%),IF(AND(N49&gt;=100,N49&lt;1000),(0.5+(N49-100)*0.25%),IF(AND(N49&gt;0,N49&lt;100),N49*0.5%)))))))</f>
        <v>2.65</v>
      </c>
      <c r="N67" s="3040">
        <f ca="1">ROUND(M67*0.9,1)</f>
        <v>2.4</v>
      </c>
      <c r="O67" s="3038"/>
      <c r="P67" s="3038"/>
      <c r="Q67" s="2602"/>
    </row>
    <row r="68" ht="15.15" spans="1:17">
      <c r="A68" s="2802" t="s">
        <v>746</v>
      </c>
      <c r="B68" s="557" t="s">
        <v>747</v>
      </c>
      <c r="C68" s="2803">
        <f ca="1">IF(C67&lt;=0,0,ROUND(C67*D68,0))</f>
        <v>125</v>
      </c>
      <c r="D68" s="651">
        <f>'数据-取费表'!E29</f>
        <v>0.055</v>
      </c>
      <c r="E68" s="2804"/>
      <c r="F68" s="2998"/>
      <c r="G68" s="2998"/>
      <c r="H68" s="3001"/>
      <c r="I68" s="1853"/>
      <c r="K68" s="3039"/>
      <c r="L68" s="3039" t="s">
        <v>748</v>
      </c>
      <c r="M68" s="3039">
        <f ca="1">IF(N49&gt;10000,N49*0.5%,IF(AND(N49&gt;5000,N49&lt;=10000),N49*1%,IF(AND(N49&gt;1000,N49&lt;=5000),N49*2%,IF(AND(N49&gt;200,N49&lt;=1000),N49*3%,N49*5%))))</f>
        <v>54.78</v>
      </c>
      <c r="N68" s="3040">
        <f ca="1">ROUND(M68,1)</f>
        <v>54.8</v>
      </c>
      <c r="O68" s="3038"/>
      <c r="P68" s="3038"/>
      <c r="Q68" s="2602"/>
    </row>
    <row r="69" s="2600" customFormat="1" ht="7.5" customHeight="1" spans="1:36">
      <c r="A69" s="2805"/>
      <c r="B69" s="527"/>
      <c r="C69" s="3042"/>
      <c r="D69" s="3043"/>
      <c r="E69" s="2688"/>
      <c r="F69" s="2844"/>
      <c r="G69" s="2844"/>
      <c r="H69" s="2845"/>
      <c r="I69" s="2606"/>
      <c r="J69" s="2604"/>
      <c r="K69" s="3039"/>
      <c r="L69" s="3039" t="s">
        <v>436</v>
      </c>
      <c r="M69" s="3039"/>
      <c r="N69" s="3040">
        <f ca="1">ROUND(SUM(N63:N68),0)</f>
        <v>102</v>
      </c>
      <c r="O69" s="3052">
        <f ca="1">N69/N49</f>
        <v>0.0372398685651698</v>
      </c>
      <c r="P69" s="3038"/>
      <c r="Q69" s="2602"/>
      <c r="R69" s="1809"/>
      <c r="S69" s="1809"/>
      <c r="T69" s="1809"/>
      <c r="U69" s="1809"/>
      <c r="V69" s="1809"/>
      <c r="W69" s="1809"/>
      <c r="X69" s="1809"/>
      <c r="Y69" s="1809"/>
      <c r="Z69" s="1809"/>
      <c r="AA69" s="1809"/>
      <c r="AB69" s="2602"/>
      <c r="AC69" s="2602"/>
      <c r="AD69" s="2602"/>
      <c r="AE69" s="2602"/>
      <c r="AF69" s="2602"/>
      <c r="AG69" s="2602"/>
      <c r="AH69" s="2602"/>
      <c r="AI69" s="2602"/>
      <c r="AJ69" s="2602"/>
    </row>
    <row r="70" s="2601" customFormat="1" ht="14.55" spans="1:36">
      <c r="A70" s="3044" t="s">
        <v>749</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726</v>
      </c>
      <c r="B71" s="445"/>
      <c r="C71" s="445"/>
      <c r="D71" s="445" t="s">
        <v>727</v>
      </c>
      <c r="E71" s="2808" t="s">
        <v>678</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750</v>
      </c>
      <c r="C72" s="2801">
        <f ca="1">ROUND(D45/(1+'数据-取费表'!F30),0)</f>
        <v>2609</v>
      </c>
      <c r="D72" s="430" t="s">
        <v>121</v>
      </c>
      <c r="E72" s="2288" t="s">
        <v>751</v>
      </c>
      <c r="F72" s="2208"/>
      <c r="G72" s="2208"/>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392" t="s">
        <v>752</v>
      </c>
      <c r="C73" s="2801">
        <f ca="1">C74+C78</f>
        <v>460</v>
      </c>
      <c r="D73" s="430" t="s">
        <v>121</v>
      </c>
      <c r="E73" s="2207"/>
      <c r="F73" s="2208"/>
      <c r="G73" s="2208"/>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753</v>
      </c>
      <c r="B74" s="430" t="s">
        <v>754</v>
      </c>
      <c r="C74" s="430">
        <f>ROUND(IF(G77="2016年5月1日后购买",C75/(1+'数据-取费表'!F30)+C76+C77,C75+C76+C77),0)</f>
        <v>447</v>
      </c>
      <c r="D74" s="430" t="s">
        <v>121</v>
      </c>
      <c r="E74" s="2207"/>
      <c r="F74" s="2208"/>
      <c r="G74" s="2208"/>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755</v>
      </c>
      <c r="B75" s="430" t="s">
        <v>756</v>
      </c>
      <c r="C75" s="560">
        <v>348.6512</v>
      </c>
      <c r="D75" s="430" t="s">
        <v>121</v>
      </c>
      <c r="E75" s="2814" t="s">
        <v>757</v>
      </c>
      <c r="F75" s="2815" t="s">
        <v>758</v>
      </c>
      <c r="G75" s="2814" t="s">
        <v>759</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760</v>
      </c>
      <c r="B76" s="452" t="s">
        <v>761</v>
      </c>
      <c r="C76" s="430">
        <f>IF(F75="购房发票",ROUND(C75*H75*D76,0),0)</f>
        <v>105</v>
      </c>
      <c r="D76" s="2817">
        <v>0.05</v>
      </c>
      <c r="E76" s="2207" t="s">
        <v>762</v>
      </c>
      <c r="F76" s="2208"/>
      <c r="G76" s="2208"/>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763</v>
      </c>
      <c r="B77" s="430" t="s">
        <v>764</v>
      </c>
      <c r="C77" s="430">
        <f>ROUND(IF(G77="个人住宅",0,IF(G77="2016年5月1日前购买",C75*D77,C75*D77/(1+'数据-取费表'!F30))),0)</f>
        <v>10</v>
      </c>
      <c r="D77" s="2819">
        <f>'数据-取费表'!E36+'数据-取费表'!E37</f>
        <v>0.0305</v>
      </c>
      <c r="E77" s="2288" t="s">
        <v>765</v>
      </c>
      <c r="F77" s="1309"/>
      <c r="G77" s="2820" t="s">
        <v>766</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767</v>
      </c>
      <c r="B78" s="430" t="s">
        <v>768</v>
      </c>
      <c r="C78" s="2821">
        <f ca="1">ROUND(D45*D78/(1+'数据-取费表'!F30),0)</f>
        <v>13</v>
      </c>
      <c r="D78" s="2822">
        <f>'数据-取费表'!E31</f>
        <v>0.005</v>
      </c>
      <c r="E78" s="2823" t="s">
        <v>769</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743</v>
      </c>
      <c r="B79" s="536" t="s">
        <v>770</v>
      </c>
      <c r="C79" s="2801">
        <f ca="1">C72-C73</f>
        <v>2149</v>
      </c>
      <c r="D79" s="430" t="s">
        <v>121</v>
      </c>
      <c r="E79" s="2207"/>
      <c r="F79" s="2208"/>
      <c r="G79" s="2208"/>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746</v>
      </c>
      <c r="B80" s="536" t="s">
        <v>771</v>
      </c>
      <c r="C80" s="2826">
        <f ca="1">IF(C79&lt;=0,0,C79/C73)</f>
        <v>4.67173913043478</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772</v>
      </c>
      <c r="B81" s="557" t="s">
        <v>773</v>
      </c>
      <c r="C81" s="2827">
        <f ca="1">ROUND(IF(C79&lt;=0,0,IF(C80&gt;=200%,C79*60%-C73*35%,IF(C80&gt;=100%,C79*50%-C73*15%,IF(C80&gt;=50%,C79*40%-C73*5%,IF(C80&lt;50%,C79*30%,0))))),0)</f>
        <v>1128</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774</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726</v>
      </c>
      <c r="B84" s="445"/>
      <c r="C84" s="445"/>
      <c r="D84" s="445" t="s">
        <v>727</v>
      </c>
      <c r="E84" s="2808" t="s">
        <v>678</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750</v>
      </c>
      <c r="C85" s="2801">
        <f ca="1">ROUND(D45/(1+'数据-取费表'!F30),0)</f>
        <v>2609</v>
      </c>
      <c r="D85" s="430" t="s">
        <v>121</v>
      </c>
      <c r="E85" s="2207" t="s">
        <v>751</v>
      </c>
      <c r="F85" s="2208"/>
      <c r="G85" s="2208"/>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392" t="s">
        <v>752</v>
      </c>
      <c r="C86" s="2801">
        <f ca="1">IF(H88="仅含出让金",C87+C90+C91+C92+C93+C94,C87+C91+C92+C93+C94)</f>
        <v>13</v>
      </c>
      <c r="D86" s="2833"/>
      <c r="E86" s="2207"/>
      <c r="F86" s="2208"/>
      <c r="G86" s="2208"/>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753</v>
      </c>
      <c r="B87" s="430" t="s">
        <v>775</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755</v>
      </c>
      <c r="B88" s="430" t="s">
        <v>776</v>
      </c>
      <c r="C88" s="2834"/>
      <c r="D88" s="2822"/>
      <c r="E88" s="2766" t="s">
        <v>777</v>
      </c>
      <c r="F88" s="2824"/>
      <c r="G88" s="2835" t="s">
        <v>778</v>
      </c>
      <c r="H88" s="2836"/>
      <c r="I88" s="2918"/>
      <c r="J88" s="2919"/>
      <c r="K88" s="2913" t="s">
        <v>779</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760</v>
      </c>
      <c r="B89" s="430" t="s">
        <v>764</v>
      </c>
      <c r="C89" s="2821">
        <f>ROUND(C88*D89,0)</f>
        <v>0</v>
      </c>
      <c r="D89" s="2822">
        <f>'数据-取费表'!E36+'数据-取费表'!E37</f>
        <v>0.0305</v>
      </c>
      <c r="E89" s="2766" t="s">
        <v>780</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767</v>
      </c>
      <c r="B90" s="430" t="s">
        <v>781</v>
      </c>
      <c r="C90" s="2834"/>
      <c r="D90" s="2822"/>
      <c r="E90" s="2766" t="str">
        <f>IF(H88="-","土地取得成本中已包含该笔费用"," ")</f>
        <v/>
      </c>
      <c r="F90" s="2824"/>
      <c r="G90" s="2837" t="s">
        <v>782</v>
      </c>
      <c r="H90" s="2837"/>
      <c r="I90" s="2918"/>
      <c r="J90" s="2919"/>
      <c r="K90" s="2913" t="s">
        <v>783</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784</v>
      </c>
      <c r="B91" s="430" t="s">
        <v>785</v>
      </c>
      <c r="C91" s="2821">
        <f>IF(H91="——",成本法!C33,I91)</f>
        <v>0</v>
      </c>
      <c r="D91" s="2822"/>
      <c r="E91" s="2823" t="s">
        <v>786</v>
      </c>
      <c r="F91" s="2824"/>
      <c r="G91" s="2824"/>
      <c r="H91" s="2839" t="s">
        <v>787</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788</v>
      </c>
      <c r="B92" s="430" t="s">
        <v>789</v>
      </c>
      <c r="C92" s="2821">
        <f>ROUND((C87+C90+C91)*D92,0)</f>
        <v>0</v>
      </c>
      <c r="D92" s="3047">
        <v>0.1</v>
      </c>
      <c r="E92" s="2823" t="s">
        <v>790</v>
      </c>
      <c r="F92" s="2824"/>
      <c r="G92" s="2824"/>
      <c r="H92" s="2825"/>
      <c r="I92" s="2918"/>
      <c r="J92" s="2919"/>
      <c r="K92" s="2917" t="s">
        <v>791</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792</v>
      </c>
      <c r="B93" s="430" t="s">
        <v>768</v>
      </c>
      <c r="C93" s="2821">
        <f ca="1">ROUND(D45*D93/(1+'数据-取费表'!F30),0)</f>
        <v>13</v>
      </c>
      <c r="D93" s="2822">
        <f>'数据-取费表'!E31</f>
        <v>0.005</v>
      </c>
      <c r="E93" s="2823" t="s">
        <v>769</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793</v>
      </c>
      <c r="B94" s="430" t="s">
        <v>794</v>
      </c>
      <c r="C94" s="2821">
        <f>ROUND((C87+C90+C91)*D94,0)</f>
        <v>0</v>
      </c>
      <c r="D94" s="2822">
        <v>0.2</v>
      </c>
      <c r="E94" s="2823" t="s">
        <v>795</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743</v>
      </c>
      <c r="B95" s="536" t="s">
        <v>770</v>
      </c>
      <c r="C95" s="2801">
        <f ca="1">ROUND(C85-C86,0)</f>
        <v>2596</v>
      </c>
      <c r="D95" s="430" t="s">
        <v>121</v>
      </c>
      <c r="E95" s="2207"/>
      <c r="F95" s="2208"/>
      <c r="G95" s="2208"/>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746</v>
      </c>
      <c r="B96" s="536" t="s">
        <v>771</v>
      </c>
      <c r="C96" s="2826">
        <f ca="1">IF(C95&lt;=0,0,C95/C86)</f>
        <v>199.692307692308</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772</v>
      </c>
      <c r="B97" s="557" t="s">
        <v>773</v>
      </c>
      <c r="C97" s="2827">
        <f ca="1">ROUND(IF(C95&lt;=0,0,IF(C96&gt;=200%,C95*60%-C86*35%,IF(C96&gt;=100%,C95*50%-C86*15%,IF(C96&gt;=50%,C95*40%-C86*5%,IF(C96&lt;50%,C95*30%,0))))),0)</f>
        <v>1553</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796</v>
      </c>
      <c r="B98" s="2606"/>
      <c r="C98" s="2606"/>
      <c r="D98" s="2606"/>
      <c r="E98" s="2844"/>
      <c r="F98" s="2844"/>
      <c r="G98" s="2844"/>
      <c r="H98" s="2845"/>
      <c r="I98" s="2606"/>
    </row>
    <row r="99" ht="15.6" spans="1:10">
      <c r="A99" s="2846" t="s">
        <v>797</v>
      </c>
      <c r="B99" s="2847"/>
      <c r="C99" s="2847"/>
      <c r="D99" s="2848"/>
      <c r="E99" s="2606"/>
      <c r="F99" s="3048" t="s">
        <v>798</v>
      </c>
      <c r="G99" s="3049"/>
      <c r="H99" s="3049"/>
      <c r="I99" s="3059"/>
      <c r="J99" s="3060"/>
    </row>
    <row r="100" ht="15" spans="1:10">
      <c r="A100" s="2851" t="s">
        <v>799</v>
      </c>
      <c r="B100" s="2852"/>
      <c r="C100" s="2859" t="str">
        <f>C4</f>
        <v>比较法-商业</v>
      </c>
      <c r="D100" s="2860" t="str">
        <f>D4</f>
        <v>收益法</v>
      </c>
      <c r="E100" s="2606"/>
      <c r="F100" s="2855" t="s">
        <v>800</v>
      </c>
      <c r="G100" s="2856"/>
      <c r="H100" s="2855" t="s">
        <v>801</v>
      </c>
      <c r="I100" s="2922"/>
      <c r="J100" s="2923"/>
    </row>
    <row r="101" ht="14.4" spans="1:10">
      <c r="A101" s="571" t="s">
        <v>802</v>
      </c>
      <c r="B101" s="538" t="str">
        <f>IF(H19="元","总价（元）","总价（万元）")</f>
        <v>总价（万元）</v>
      </c>
      <c r="C101" s="2859">
        <f ca="1">C19</f>
        <v>3181</v>
      </c>
      <c r="D101" s="2860">
        <f ca="1">D19</f>
        <v>2075</v>
      </c>
      <c r="E101" s="2606"/>
      <c r="F101" s="2855" t="str">
        <f>项目基本情况!I1</f>
        <v>北京市房地产</v>
      </c>
      <c r="G101" s="2856"/>
      <c r="H101" s="2863">
        <f>项目基本情况!C12</f>
        <v>644.12</v>
      </c>
      <c r="I101" s="2922"/>
      <c r="J101" s="2923"/>
    </row>
    <row r="102" ht="14.4" spans="1:10">
      <c r="A102" s="571"/>
      <c r="B102" s="538" t="s">
        <v>803</v>
      </c>
      <c r="C102" s="2864">
        <f ca="1">C20</f>
        <v>49383</v>
      </c>
      <c r="D102" s="2865">
        <f ca="1">D20</f>
        <v>32220</v>
      </c>
      <c r="E102" s="2606"/>
      <c r="F102" s="2813" t="s">
        <v>804</v>
      </c>
      <c r="G102" s="2392"/>
      <c r="H102" s="2866" t="str">
        <f>C106</f>
        <v>总价（万元）</v>
      </c>
      <c r="I102" s="2883">
        <f ca="1">H121</f>
        <v>2739</v>
      </c>
      <c r="J102" s="2923"/>
    </row>
    <row r="103" ht="14.4" spans="1:10">
      <c r="A103" s="571" t="s">
        <v>805</v>
      </c>
      <c r="B103" s="539" t="str">
        <f>B101</f>
        <v>总价（万元）</v>
      </c>
      <c r="C103" s="2870">
        <f ca="1">H121</f>
        <v>2739</v>
      </c>
      <c r="D103" s="2867"/>
      <c r="E103" s="2606"/>
      <c r="F103" s="2813"/>
      <c r="G103" s="2392"/>
      <c r="H103" s="2866" t="s">
        <v>803</v>
      </c>
      <c r="I103" s="2796">
        <f ca="1">I121</f>
        <v>42518</v>
      </c>
      <c r="J103" s="2740"/>
    </row>
    <row r="104" ht="15.15" spans="1:10">
      <c r="A104" s="587"/>
      <c r="B104" s="2875" t="s">
        <v>803</v>
      </c>
      <c r="C104" s="2876">
        <f ca="1">I121</f>
        <v>42518</v>
      </c>
      <c r="D104" s="2877"/>
      <c r="E104" s="2606"/>
      <c r="F104" s="2813"/>
      <c r="G104" s="2392"/>
      <c r="H104" s="2866"/>
      <c r="I104" s="2924"/>
      <c r="J104" s="2925"/>
    </row>
    <row r="105" ht="14.4" spans="1:10">
      <c r="A105" s="2846" t="s">
        <v>806</v>
      </c>
      <c r="B105" s="2847"/>
      <c r="C105" s="2847"/>
      <c r="D105" s="2848"/>
      <c r="E105" s="2606"/>
      <c r="F105" s="2872" t="s">
        <v>807</v>
      </c>
      <c r="G105" s="2873"/>
      <c r="H105" s="2874" t="str">
        <f>C108</f>
        <v>总额（万元）</v>
      </c>
      <c r="I105" s="2883">
        <f>SUMIF(I106:I108,"&lt;9E307")</f>
        <v>0</v>
      </c>
      <c r="J105" s="2923"/>
    </row>
    <row r="106" ht="14.4" spans="1:17">
      <c r="A106" s="2813" t="s">
        <v>804</v>
      </c>
      <c r="B106" s="2392"/>
      <c r="C106" s="2866" t="str">
        <f>B101</f>
        <v>总价（万元）</v>
      </c>
      <c r="D106" s="2883">
        <f ca="1">H121</f>
        <v>2739</v>
      </c>
      <c r="E106" s="2606"/>
      <c r="F106" s="2878" t="s">
        <v>808</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392"/>
      <c r="C107" s="2866" t="s">
        <v>803</v>
      </c>
      <c r="D107" s="2796">
        <f ca="1">I121</f>
        <v>42518</v>
      </c>
      <c r="E107" s="2606"/>
      <c r="F107" s="2878" t="s">
        <v>809</v>
      </c>
      <c r="G107" s="2879"/>
      <c r="H107" s="2874" t="str">
        <f>C110</f>
        <v>总额（万元）</v>
      </c>
      <c r="I107" s="2796">
        <f>C37</f>
        <v>0</v>
      </c>
      <c r="J107" s="2740"/>
    </row>
    <row r="108" ht="14.4" spans="1:10">
      <c r="A108" s="2884" t="s">
        <v>807</v>
      </c>
      <c r="B108" s="2885"/>
      <c r="C108" s="2874" t="str">
        <f>IF(H19="元","总额（元）","总额（万元）")</f>
        <v>总额（万元）</v>
      </c>
      <c r="D108" s="2883">
        <f>IF(D36="正常操作",I106+I107+I108,I107+I108)</f>
        <v>0</v>
      </c>
      <c r="E108" s="2606"/>
      <c r="F108" s="2878" t="s">
        <v>810</v>
      </c>
      <c r="G108" s="2879"/>
      <c r="H108" s="2874" t="str">
        <f>C111</f>
        <v>总额（万元）</v>
      </c>
      <c r="I108" s="2796">
        <f>C38</f>
        <v>0</v>
      </c>
      <c r="J108" s="2740"/>
    </row>
    <row r="109" ht="14.4" spans="1:10">
      <c r="A109" s="2878" t="s">
        <v>808</v>
      </c>
      <c r="B109" s="2879"/>
      <c r="C109" s="2874" t="str">
        <f>C108</f>
        <v>总额（万元）</v>
      </c>
      <c r="D109" s="2796">
        <f>IF(D36="同一抵押权人同一抵押物续贷",C36&amp;"（未扣减，详见特别提示）",C36)</f>
        <v>0</v>
      </c>
      <c r="E109" s="2606"/>
      <c r="F109" s="2813"/>
      <c r="G109" s="2392"/>
      <c r="H109" s="572"/>
      <c r="I109" s="2928"/>
      <c r="J109" s="2929"/>
    </row>
    <row r="110" ht="28.5" customHeight="1" spans="1:10">
      <c r="A110" s="2878" t="s">
        <v>809</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2739</v>
      </c>
      <c r="J110" s="2923"/>
    </row>
    <row r="111" ht="14.4" spans="1:10">
      <c r="A111" s="2878" t="s">
        <v>810</v>
      </c>
      <c r="B111" s="2879"/>
      <c r="C111" s="2874" t="str">
        <f>C108</f>
        <v>总额（万元）</v>
      </c>
      <c r="D111" s="2796">
        <f>C38</f>
        <v>0</v>
      </c>
      <c r="E111" s="2606"/>
      <c r="F111" s="2887"/>
      <c r="G111" s="2704"/>
      <c r="H111" s="2866" t="s">
        <v>803</v>
      </c>
      <c r="I111" s="2930">
        <f ca="1">D113</f>
        <v>42518</v>
      </c>
      <c r="J111" s="2931"/>
    </row>
    <row r="112" ht="26.25" customHeight="1" spans="1:10">
      <c r="A112" s="2813" t="str">
        <f>IF(项目基本情况!F5="已注销","——","3.房地产抵押价值")</f>
        <v>3.房地产抵押价值</v>
      </c>
      <c r="B112" s="2392"/>
      <c r="C112" s="2866" t="str">
        <f>B101</f>
        <v>总价（万元）</v>
      </c>
      <c r="D112" s="2883">
        <f ca="1">IF(A112="——","——",D106-D108)</f>
        <v>2739</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392"/>
      <c r="C113" s="2866" t="s">
        <v>803</v>
      </c>
      <c r="D113" s="2796">
        <f ca="1">ROUND(IF(D112=D106,D107,IF(H19="元",D112/项目基本情况!C12,D112*10000/项目基本情况!C12)),0)</f>
        <v>42518</v>
      </c>
      <c r="E113" s="2606"/>
      <c r="F113" s="2887"/>
      <c r="G113" s="2704"/>
      <c r="H113" s="2866" t="s">
        <v>803</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392"/>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392"/>
      <c r="C115" s="2866" t="s">
        <v>803</v>
      </c>
      <c r="D115" s="2796" t="str">
        <f ca="1">IF(A114="——","——",ROUND(IF(D114=D106,D107,IF(H19="元",D114/项目基本情况!C12,D114*10000/项目基本情况!C12)),0))</f>
        <v>——</v>
      </c>
      <c r="E115" s="2606"/>
      <c r="F115" s="2888"/>
      <c r="G115" s="2889"/>
      <c r="H115" s="2890" t="s">
        <v>803</v>
      </c>
      <c r="I115" s="2894" t="str">
        <f ca="1">D117</f>
        <v>——</v>
      </c>
      <c r="J115" s="2740"/>
    </row>
    <row r="116" ht="15.6" spans="1:16">
      <c r="A116" s="2813" t="str">
        <f>IF(项目基本情况!G5="抵押净值",IF(OR(项目基本情况!F5="已注销",项目基本情况!F5="房地产抵押价值"),"4.抵押净值","5.抵押净值"),"——")</f>
        <v>——</v>
      </c>
      <c r="B116" s="2392"/>
      <c r="C116" s="2866" t="str">
        <f>B101</f>
        <v>总价（万元）</v>
      </c>
      <c r="D116" s="2883" t="str">
        <f ca="1">IF(A116="——","——",O59)</f>
        <v>——</v>
      </c>
      <c r="E116" s="2606"/>
      <c r="F116" s="2891"/>
      <c r="G116" s="2891"/>
      <c r="H116" s="2892"/>
      <c r="I116" s="2892"/>
      <c r="J116" s="2932"/>
      <c r="O116" s="1806"/>
      <c r="P116" s="1806"/>
    </row>
    <row r="117" ht="15.15" spans="1:16">
      <c r="A117" s="2893"/>
      <c r="B117" s="2827"/>
      <c r="C117" s="2890" t="s">
        <v>803</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06"/>
      <c r="P117" s="1806"/>
    </row>
    <row r="118" ht="14.4" spans="1:10">
      <c r="A118" s="2895" t="s">
        <v>811</v>
      </c>
      <c r="B118" s="2896"/>
      <c r="C118" s="2896"/>
      <c r="D118" s="2896"/>
      <c r="E118" s="2896"/>
      <c r="F118" s="2896"/>
      <c r="G118" s="2896"/>
      <c r="H118" s="2896"/>
      <c r="I118" s="2896"/>
      <c r="J118" s="2934"/>
    </row>
    <row r="119" ht="14.4" spans="1:10">
      <c r="A119" s="2720" t="s">
        <v>812</v>
      </c>
      <c r="B119" s="2235" t="s">
        <v>359</v>
      </c>
      <c r="C119" s="2235" t="s">
        <v>813</v>
      </c>
      <c r="D119" s="2897" t="s">
        <v>814</v>
      </c>
      <c r="E119" s="2898"/>
      <c r="F119" s="2229" t="s">
        <v>656</v>
      </c>
      <c r="G119" s="2229"/>
      <c r="H119" s="2229" t="s">
        <v>815</v>
      </c>
      <c r="I119" s="2796"/>
      <c r="J119" s="2740"/>
    </row>
    <row r="120" ht="14.4" spans="1:10">
      <c r="A120" s="2720"/>
      <c r="B120" s="467"/>
      <c r="C120" s="467"/>
      <c r="D120" s="2229" t="s">
        <v>816</v>
      </c>
      <c r="E120" s="2229" t="s">
        <v>817</v>
      </c>
      <c r="F120" s="2229" t="s">
        <v>816</v>
      </c>
      <c r="G120" s="2229" t="s">
        <v>817</v>
      </c>
      <c r="H120" s="2229" t="s">
        <v>816</v>
      </c>
      <c r="I120" s="2796" t="s">
        <v>817</v>
      </c>
      <c r="J120" s="2740"/>
    </row>
    <row r="121" ht="14.4" spans="1:10">
      <c r="A121" s="2720" t="str">
        <f>项目基本情况!I1</f>
        <v>北京市房地产</v>
      </c>
      <c r="B121" s="2229">
        <f>项目基本情况!C12</f>
        <v>644.12</v>
      </c>
      <c r="C121" s="2229">
        <f>项目基本情况!C13</f>
        <v>429.62</v>
      </c>
      <c r="D121" s="2229">
        <f ca="1">ROUND(IF(B32="总价",C34,IF('数据-取费表'!B3="万元",E121*B121/10000,E121*B121)),0)</f>
        <v>129</v>
      </c>
      <c r="E121" s="2229">
        <f ca="1">ROUND(IF(B32="楼面单价",C34,IF(H19="元",D121/B121,D121*10000/B121)),0)</f>
        <v>2000</v>
      </c>
      <c r="F121" s="2229">
        <f ca="1">ROUND(IF(B32="总价",C35,IF('数据-取费表'!B3="万元",G121*B121/10000,G121*B121)),0)</f>
        <v>287</v>
      </c>
      <c r="G121" s="2229">
        <f ca="1">ROUND(IF(B32="楼面单价",C35,IF(H19="元",F121/B121,F121*10000/B121)),0)</f>
        <v>4460</v>
      </c>
      <c r="H121" s="2229">
        <f ca="1">ROUND(IF(B32="总价",C32,IF('数据-取费表'!B3="万元",I121*B121/10000,I121*B121)),0)</f>
        <v>2739</v>
      </c>
      <c r="I121" s="2796">
        <f ca="1">ROUND(IF(B32="楼面单价",C32,IF(H19="元",H121/B121,H121*10000/B121)),0)</f>
        <v>42518</v>
      </c>
      <c r="J121" s="2740"/>
    </row>
    <row r="122" ht="14.4" spans="1:10">
      <c r="A122" s="2720" t="s">
        <v>818</v>
      </c>
      <c r="B122" s="2229"/>
      <c r="C122" s="2229"/>
      <c r="D122" s="2900" t="str">
        <f ca="1">IF(H19="元",NUMBERSTRING(INT(D121),2)&amp;"元整",NUMBERSTRING(INT(D121*10000),2)&amp;"元整")</f>
        <v>壹佰贰拾玖万元整</v>
      </c>
      <c r="E122" s="2901"/>
      <c r="F122" s="2900" t="str">
        <f ca="1">IF(H19="元",NUMBERSTRING(INT(F121),2)&amp;"元整",NUMBERSTRING(INT(F121*10000),2)&amp;"元整")</f>
        <v>贰佰捌拾柒万元整</v>
      </c>
      <c r="G122" s="2901"/>
      <c r="H122" s="2900" t="str">
        <f ca="1">IF(H19="元",NUMBERSTRING(INT(H121),2)&amp;"元整",NUMBERSTRING(INT(H121*10000),2)&amp;"元整")</f>
        <v>贰仟柒佰叁拾玖万元整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818</v>
      </c>
      <c r="B124" s="2208"/>
      <c r="C124" s="2723"/>
      <c r="D124" s="2903">
        <f>H109</f>
        <v>0</v>
      </c>
      <c r="E124" s="2904"/>
      <c r="F124" s="2904"/>
      <c r="G124" s="2904"/>
      <c r="H124" s="2904"/>
      <c r="I124" s="2937"/>
      <c r="J124" s="2938"/>
    </row>
    <row r="125" ht="14.4" spans="1:10">
      <c r="A125" s="2813" t="str">
        <f>IF(项目基本情况!D5="房地产市场价值","——",MID(A112,3,LEN(A112)-2))</f>
        <v>房地产抵押价值</v>
      </c>
      <c r="B125" s="2392"/>
      <c r="C125" s="2392"/>
      <c r="D125" s="2863">
        <f ca="1">I110</f>
        <v>2739</v>
      </c>
      <c r="E125" s="2857"/>
      <c r="F125" s="2857"/>
      <c r="G125" s="2857"/>
      <c r="H125" s="2857"/>
      <c r="I125" s="2922"/>
      <c r="J125" s="2923"/>
    </row>
    <row r="126" ht="14.4" spans="1:10">
      <c r="A126" s="2720" t="s">
        <v>818</v>
      </c>
      <c r="B126" s="2229"/>
      <c r="C126" s="2229"/>
      <c r="D126" s="2903">
        <f ca="1">I111</f>
        <v>42518</v>
      </c>
      <c r="E126" s="2904"/>
      <c r="F126" s="2904"/>
      <c r="G126" s="2904"/>
      <c r="H126" s="2904"/>
      <c r="I126" s="2937"/>
      <c r="J126" s="2938"/>
    </row>
    <row r="127" ht="15.15" spans="1:10">
      <c r="A127" s="2813" t="str">
        <f>IF(项目基本情况!D5="房地产市场价值","——",MID(A114,3,LEN(A114)-2))</f>
        <v/>
      </c>
      <c r="B127" s="2392"/>
      <c r="C127" s="2392"/>
      <c r="D127" s="2693" t="str">
        <f ca="1">I112</f>
        <v>——</v>
      </c>
      <c r="E127" s="2694"/>
      <c r="F127" s="2694"/>
      <c r="G127" s="2694"/>
      <c r="H127" s="2694"/>
      <c r="I127" s="2961"/>
      <c r="J127" s="2923"/>
    </row>
    <row r="128" ht="15.9" spans="1:10">
      <c r="A128" s="2720" t="s">
        <v>818</v>
      </c>
      <c r="B128" s="2229"/>
      <c r="C128" s="2207"/>
      <c r="D128" s="2939" t="str">
        <f ca="1">I113</f>
        <v>——</v>
      </c>
      <c r="E128" s="2939"/>
      <c r="F128" s="2939"/>
      <c r="G128" s="2939"/>
      <c r="H128" s="2939"/>
      <c r="I128" s="2939"/>
      <c r="J128" s="2938"/>
    </row>
    <row r="129" ht="15.9" spans="1:10">
      <c r="A129" s="2813" t="str">
        <f>IF(项目基本情况!D5="房地产市场价值","——",MID(F114,3,LEN(F114)-2))</f>
        <v/>
      </c>
      <c r="B129" s="2392"/>
      <c r="C129" s="2863"/>
      <c r="D129" s="2940" t="str">
        <f ca="1">I114</f>
        <v>——</v>
      </c>
      <c r="E129" s="2940"/>
      <c r="F129" s="2940"/>
      <c r="G129" s="2940"/>
      <c r="H129" s="2940"/>
      <c r="I129" s="2940"/>
      <c r="J129" s="2923"/>
    </row>
    <row r="130" ht="15.9" spans="1:10">
      <c r="A130" s="2728" t="s">
        <v>818</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819</v>
      </c>
      <c r="B133" s="2945"/>
      <c r="C133" s="2946" t="s">
        <v>820</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06"/>
      <c r="G136" s="1806"/>
      <c r="H136" s="1806"/>
      <c r="I136" s="1806"/>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09"/>
      <c r="J138" s="2966"/>
    </row>
    <row r="139" customHeight="1" spans="1:10">
      <c r="A139" s="1809"/>
      <c r="B139" s="1809"/>
      <c r="C139" s="1809"/>
      <c r="D139" s="1809"/>
      <c r="E139" s="1809"/>
      <c r="F139" s="2955" t="s">
        <v>821</v>
      </c>
      <c r="G139" s="2956"/>
      <c r="H139" s="2956"/>
      <c r="I139" s="2968" t="s">
        <v>822</v>
      </c>
      <c r="J139" s="2969"/>
    </row>
    <row r="140" customHeight="1" spans="1:10">
      <c r="A140" s="1809"/>
      <c r="B140" s="2957" t="s">
        <v>823</v>
      </c>
      <c r="C140" s="1809"/>
      <c r="D140" s="1809"/>
      <c r="E140" s="1809"/>
      <c r="F140" s="1809"/>
      <c r="G140" s="1809"/>
      <c r="H140" s="1809"/>
      <c r="I140" s="1809"/>
      <c r="J140" s="2966"/>
    </row>
    <row r="141" customHeight="1" spans="1:10">
      <c r="A141" s="1809"/>
      <c r="B141" s="1809"/>
      <c r="C141" s="1809"/>
      <c r="D141" s="1809"/>
      <c r="E141" s="1809"/>
      <c r="F141" s="1809"/>
      <c r="G141" s="1809"/>
      <c r="H141" s="1809"/>
      <c r="I141" s="1809"/>
      <c r="J141" s="2966"/>
    </row>
    <row r="142" customHeight="1" spans="1:10">
      <c r="A142" s="1809"/>
      <c r="B142" s="2956"/>
      <c r="C142" s="2956"/>
      <c r="D142" s="2956"/>
      <c r="E142" s="2956"/>
      <c r="F142" s="2956"/>
      <c r="G142" s="2956"/>
      <c r="H142" s="2956"/>
      <c r="I142" s="2968" t="s">
        <v>824</v>
      </c>
      <c r="J142" s="2969"/>
    </row>
    <row r="143" customHeight="1" spans="1:10">
      <c r="A143" s="1809"/>
      <c r="B143" s="2957" t="s">
        <v>825</v>
      </c>
      <c r="C143" s="1809"/>
      <c r="D143" s="1809"/>
      <c r="E143" s="1809"/>
      <c r="F143" s="1809"/>
      <c r="G143" s="1809"/>
      <c r="H143" s="1809"/>
      <c r="I143" s="1809"/>
      <c r="J143" s="2966"/>
    </row>
    <row r="144" customHeight="1" spans="1:10">
      <c r="A144" s="1809"/>
      <c r="B144" s="2957"/>
      <c r="C144" s="1809"/>
      <c r="D144" s="1809"/>
      <c r="E144" s="1809"/>
      <c r="F144" s="1809"/>
      <c r="G144" s="1809"/>
      <c r="H144" s="1809"/>
      <c r="I144" s="1809"/>
      <c r="J144" s="2966"/>
    </row>
    <row r="145" customHeight="1" spans="1:10">
      <c r="A145" s="1809"/>
      <c r="B145" s="2956"/>
      <c r="C145" s="2956"/>
      <c r="D145" s="2956"/>
      <c r="E145" s="2956"/>
      <c r="F145" s="2956"/>
      <c r="G145" s="2956"/>
      <c r="H145" s="2956"/>
      <c r="I145" s="2968" t="s">
        <v>824</v>
      </c>
      <c r="J145" s="2969"/>
    </row>
    <row r="146" customHeight="1" spans="1:10">
      <c r="A146" s="1809"/>
      <c r="B146" s="2957"/>
      <c r="C146" s="2958"/>
      <c r="D146" s="2959"/>
      <c r="E146" s="2959"/>
      <c r="F146" s="2960"/>
      <c r="G146" s="1809"/>
      <c r="H146" s="1809"/>
      <c r="I146" s="1809"/>
      <c r="J146" s="2966"/>
    </row>
    <row r="147" s="1806" customFormat="1" customHeight="1" spans="1:36">
      <c r="A147" s="1809"/>
      <c r="B147" s="2957"/>
      <c r="C147" s="2958"/>
      <c r="D147" s="2959"/>
      <c r="E147" s="295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66"/>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66"/>
    </row>
    <row r="151" s="1809" customFormat="1" customHeight="1" spans="10:10">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1809" customFormat="1" customHeight="1" spans="10:10">
      <c r="J383" s="2966"/>
    </row>
    <row r="384" s="1809" customFormat="1" customHeight="1" spans="10:10">
      <c r="J384" s="2966"/>
    </row>
    <row r="385" s="1809" customFormat="1" customHeight="1" spans="10:10">
      <c r="J385" s="2966"/>
    </row>
    <row r="386" s="1809" customFormat="1" customHeight="1" spans="10:10">
      <c r="J386" s="2966"/>
    </row>
    <row r="387" s="1809" customFormat="1" customHeight="1" spans="10:10">
      <c r="J387" s="2966"/>
    </row>
    <row r="388" s="1809" customFormat="1" customHeight="1" spans="10:10">
      <c r="J388" s="2966"/>
    </row>
    <row r="389" s="1809" customFormat="1" customHeight="1" spans="10:10">
      <c r="J389" s="2966"/>
    </row>
    <row r="390" s="1809" customFormat="1" customHeight="1" spans="10:10">
      <c r="J390" s="2966"/>
    </row>
    <row r="391" s="1809" customFormat="1" customHeight="1" spans="10:10">
      <c r="J391" s="2966"/>
    </row>
    <row r="392" s="1809" customFormat="1" customHeight="1" spans="10:10">
      <c r="J392" s="2966"/>
    </row>
    <row r="393" s="1809" customFormat="1" customHeight="1" spans="10:10">
      <c r="J393" s="2966"/>
    </row>
    <row r="394" s="1809" customFormat="1" customHeight="1" spans="10:10">
      <c r="J394" s="2966"/>
    </row>
    <row r="395" s="1809" customFormat="1" customHeight="1" spans="10:10">
      <c r="J395" s="2966"/>
    </row>
    <row r="396" s="1809" customFormat="1" customHeight="1" spans="10:10">
      <c r="J396" s="2966"/>
    </row>
    <row r="397" s="1809" customFormat="1" customHeight="1" spans="10:10">
      <c r="J397" s="2966"/>
    </row>
    <row r="398" s="1809" customFormat="1" customHeight="1" spans="10:10">
      <c r="J398" s="2966"/>
    </row>
    <row r="399" s="1809" customFormat="1" customHeight="1" spans="10:10">
      <c r="J399" s="2966"/>
    </row>
    <row r="400" s="1809" customFormat="1" customHeight="1" spans="10:10">
      <c r="J400" s="2966"/>
    </row>
    <row r="401" s="1809" customFormat="1" customHeight="1" spans="10:10">
      <c r="J401" s="2966"/>
    </row>
    <row r="402" s="1809" customFormat="1" customHeight="1" spans="10:10">
      <c r="J402" s="2966"/>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6:27">
      <c r="F516" s="2603"/>
      <c r="G516" s="2603"/>
      <c r="H516" s="2603"/>
      <c r="I516" s="2603"/>
      <c r="J516" s="2604"/>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3"/>
    <col min="2" max="2" width="17.6296296296296" style="2603" customWidth="1"/>
    <col min="3" max="4" width="12.6296296296296" style="2603" customWidth="1"/>
    <col min="5" max="9" width="12.6296296296296" style="2603"/>
    <col min="10" max="10" width="4.1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607" t="s">
        <v>826</v>
      </c>
      <c r="B2" s="2607"/>
      <c r="C2" s="2607"/>
      <c r="D2" s="2607"/>
      <c r="E2" s="2607"/>
      <c r="F2" s="2607"/>
      <c r="G2" s="2607"/>
      <c r="H2" s="2607"/>
      <c r="I2" s="2607"/>
      <c r="J2" s="2738"/>
    </row>
    <row r="3" ht="14.4" spans="1:10">
      <c r="A3" s="2608" t="s">
        <v>609</v>
      </c>
      <c r="B3" s="2225"/>
      <c r="C3" s="2225"/>
      <c r="D3" s="2225"/>
      <c r="E3" s="2225"/>
      <c r="F3" s="2225"/>
      <c r="G3" s="2225"/>
      <c r="H3" s="2225"/>
      <c r="I3" s="2225"/>
      <c r="J3" s="2739"/>
    </row>
    <row r="4" ht="14.4" spans="1:15">
      <c r="A4" s="2609" t="s">
        <v>610</v>
      </c>
      <c r="B4" s="2609" t="s">
        <v>611</v>
      </c>
      <c r="C4" s="2610"/>
      <c r="D4" s="2610"/>
      <c r="E4" s="2207" t="s">
        <v>614</v>
      </c>
      <c r="F4" s="2208"/>
      <c r="G4" s="2208"/>
      <c r="H4" s="2208"/>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ht="14.4" spans="1:10">
      <c r="A14" s="1314" t="s">
        <v>628</v>
      </c>
      <c r="B14" s="1314">
        <v>30</v>
      </c>
      <c r="C14" s="2611"/>
      <c r="D14" s="2612"/>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0</v>
      </c>
      <c r="D17" s="2616">
        <f>SUM(D5:D16)</f>
        <v>0</v>
      </c>
      <c r="E17" s="2617"/>
      <c r="F17" s="2617"/>
      <c r="G17" s="2617"/>
      <c r="H17" s="2617"/>
      <c r="I17" s="2617"/>
      <c r="J17" s="2741"/>
    </row>
    <row r="18" ht="32.45" customHeight="1" spans="1:10">
      <c r="A18" s="2618" t="s">
        <v>633</v>
      </c>
      <c r="B18" s="2619"/>
      <c r="C18" s="2620" t="e">
        <f>ROUND(C17/SUM(C17:D17),2)</f>
        <v>#DIV/0!</v>
      </c>
      <c r="D18" s="2620" t="e">
        <f>1-C18</f>
        <v>#DIV/0!</v>
      </c>
      <c r="E18" s="2621" t="s">
        <v>634</v>
      </c>
      <c r="F18" s="2622"/>
      <c r="G18" s="2622"/>
      <c r="H18" s="2622"/>
      <c r="I18" s="2622"/>
      <c r="J18" s="2741"/>
    </row>
    <row r="19" ht="14.4" spans="1:10">
      <c r="A19" s="2623" t="s">
        <v>635</v>
      </c>
      <c r="B19" s="2624" t="s">
        <v>636</v>
      </c>
      <c r="C19" s="2625" t="e">
        <f ca="1">SUMIF(INDIRECT("'"&amp;C4&amp;"'"&amp;"!A:A"),'结果表 (1修多)'!B19,INDIRECT("'"&amp;C4&amp;"'"&amp;"!B:B"))</f>
        <v>#REF!</v>
      </c>
      <c r="D19" s="2626" t="e">
        <f ca="1">SUMIF(INDIRECT("'"&amp;D4&amp;"'"&amp;"!A:A"),'结果表 (1修多)'!B19,INDIRECT("'"&amp;D4&amp;"'"&amp;"!B:B"))</f>
        <v>#REF!</v>
      </c>
      <c r="E19" s="2623" t="s">
        <v>637</v>
      </c>
      <c r="F19" s="2624" t="s">
        <v>636</v>
      </c>
      <c r="G19" s="2627" t="e">
        <f ca="1">ROUND(C19*$C$18+D19*$D$18,0)</f>
        <v>#REF!</v>
      </c>
      <c r="H19" s="2628" t="str">
        <f>'数据-取费表'!B3</f>
        <v>万元</v>
      </c>
      <c r="I19" s="2617"/>
      <c r="J19" s="2741"/>
    </row>
    <row r="20" ht="14.4" spans="1:10">
      <c r="A20" s="2629"/>
      <c r="B20" s="1331" t="s">
        <v>638</v>
      </c>
      <c r="C20" s="1238" t="e">
        <f ca="1">SUMIF(INDIRECT("'"&amp;C4&amp;"'"&amp;"!A:A"),'结果表 (1修多)'!B20,INDIRECT("'"&amp;C4&amp;"'"&amp;"!B:B"))</f>
        <v>#REF!</v>
      </c>
      <c r="D20" s="1768" t="e">
        <f ca="1">SUMIF(INDIRECT("'"&amp;D4&amp;"'"&amp;"!A:A"),'结果表 (1修多)'!B20,INDIRECT("'"&amp;D4&amp;"'"&amp;"!B:B"))</f>
        <v>#REF!</v>
      </c>
      <c r="E20" s="2629"/>
      <c r="F20" s="1331" t="s">
        <v>638</v>
      </c>
      <c r="G20" s="1262" t="e">
        <f ca="1">ROUND(C20*$C$18+D20*$D$18,0)</f>
        <v>#REF!</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t="e">
        <f ca="1">IF(C19&lt;D19,D19/C19-1,C19/D19-1)</f>
        <v>#REF!</v>
      </c>
      <c r="E22" s="2326"/>
      <c r="F22" s="2326"/>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t="s">
        <v>827</v>
      </c>
      <c r="B27" s="2645">
        <v>0</v>
      </c>
      <c r="C27" s="2645">
        <v>0</v>
      </c>
      <c r="D27" s="2646">
        <f>ROUND(C27*B27/10000,0)</f>
        <v>0</v>
      </c>
      <c r="E27" s="2326"/>
      <c r="F27" s="2326"/>
      <c r="G27" s="2326"/>
      <c r="H27" s="2326"/>
      <c r="I27" s="2326"/>
      <c r="J27" s="2741"/>
    </row>
    <row r="28" ht="14.4" spans="1:10">
      <c r="A28" s="2644"/>
      <c r="B28" s="2645"/>
      <c r="C28" s="2645"/>
      <c r="D28" s="2646">
        <f>ROUND(C28*B28/10000,0)</f>
        <v>0</v>
      </c>
      <c r="E28" s="2326"/>
      <c r="F28" s="2326"/>
      <c r="G28" s="2326"/>
      <c r="H28" s="2326"/>
      <c r="I28" s="2326"/>
      <c r="J28" s="2741"/>
    </row>
    <row r="29" ht="14.4" spans="1:10">
      <c r="A29" s="2644"/>
      <c r="B29" s="2645"/>
      <c r="C29" s="2645"/>
      <c r="D29" s="2646">
        <f t="shared" ref="D29" si="0">ROUND(C29*B29/10000,0)</f>
        <v>0</v>
      </c>
      <c r="E29" s="2326"/>
      <c r="F29" s="2326"/>
      <c r="G29" s="2326"/>
      <c r="H29" s="2326"/>
      <c r="I29" s="2326"/>
      <c r="J29" s="2741"/>
    </row>
    <row r="30" ht="15.15" spans="1:10">
      <c r="A30" s="2648" t="s">
        <v>646</v>
      </c>
      <c r="B30" s="2649"/>
      <c r="C30" s="2649"/>
      <c r="D30" s="2649"/>
      <c r="E30" s="2650" t="s">
        <v>647</v>
      </c>
      <c r="F30" s="2617"/>
      <c r="G30" s="2617"/>
      <c r="H30" s="2617"/>
      <c r="I30" s="2617"/>
      <c r="J30" s="2741"/>
    </row>
    <row r="31" s="2599" customFormat="1" ht="27.6"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828</v>
      </c>
      <c r="B32" s="2653"/>
      <c r="C32" s="2653"/>
      <c r="D32" s="2653"/>
      <c r="E32" s="2653"/>
      <c r="F32" s="2653"/>
      <c r="G32" s="2653"/>
      <c r="H32" s="2653"/>
      <c r="I32" s="2653"/>
      <c r="J32" s="2745"/>
      <c r="K32" s="1809"/>
      <c r="L32" s="1809"/>
      <c r="M32" s="1809"/>
      <c r="N32" s="1809"/>
      <c r="O32" s="1809"/>
      <c r="P32" s="1809"/>
      <c r="Q32" s="1809"/>
      <c r="R32" s="1809"/>
      <c r="S32" s="1809"/>
      <c r="T32" s="1809"/>
      <c r="U32" s="1809"/>
      <c r="V32" s="1809"/>
      <c r="W32" s="1809"/>
      <c r="X32" s="1809"/>
      <c r="Y32" s="1809"/>
      <c r="Z32" s="1809"/>
      <c r="AA32" s="1809"/>
      <c r="AB32" s="2602"/>
      <c r="AC32" s="2602"/>
      <c r="AD32" s="2602"/>
      <c r="AE32" s="2602"/>
      <c r="AF32" s="2602"/>
      <c r="AG32" s="2602"/>
      <c r="AH32" s="2602"/>
      <c r="AI32" s="2602"/>
      <c r="AJ32" s="2602"/>
    </row>
    <row r="33" ht="14.4" spans="1:10">
      <c r="A33" s="2654"/>
      <c r="B33" s="2655" t="s">
        <v>829</v>
      </c>
      <c r="C33" s="2656">
        <f>典型户型修正!R27</f>
        <v>0</v>
      </c>
      <c r="D33" s="2617" t="s">
        <v>639</v>
      </c>
      <c r="E33" s="2326"/>
      <c r="F33" s="2326"/>
      <c r="G33" s="2326"/>
      <c r="H33" s="2326"/>
      <c r="I33" s="2326"/>
      <c r="J33" s="2741"/>
    </row>
    <row r="34" ht="14.4" spans="1:10">
      <c r="A34" s="2657" t="s">
        <v>830</v>
      </c>
      <c r="B34" s="2658" t="s">
        <v>831</v>
      </c>
      <c r="C34" s="2659">
        <f ca="1">典型户型修正!B2</f>
        <v>0</v>
      </c>
      <c r="D34" s="2660" t="str">
        <f>IF('数据-取费表'!B3="万元","万元","元")</f>
        <v>万元</v>
      </c>
      <c r="E34" s="2326"/>
      <c r="F34" s="2326"/>
      <c r="G34" s="2326"/>
      <c r="H34" s="2326"/>
      <c r="I34" s="2326"/>
      <c r="J34" s="2741"/>
    </row>
    <row r="35" ht="15.15" spans="1:10">
      <c r="A35" s="2661"/>
      <c r="B35" s="2662" t="s">
        <v>832</v>
      </c>
      <c r="C35" s="2633">
        <f ca="1">典型户型修正!B3</f>
        <v>0</v>
      </c>
      <c r="D35" s="2617" t="s">
        <v>639</v>
      </c>
      <c r="E35" s="2326"/>
      <c r="F35" s="2326"/>
      <c r="G35" s="2326"/>
      <c r="H35" s="2326"/>
      <c r="I35" s="2326"/>
      <c r="J35" s="2741"/>
    </row>
    <row r="36" ht="14.4" spans="1:10">
      <c r="A36" s="2663"/>
      <c r="B36" s="2664" t="s">
        <v>653</v>
      </c>
      <c r="C36" s="2665">
        <f>IF('数据-取费表'!B3="万元",典型户型修正!V25,典型户型修正!U25)</f>
        <v>0</v>
      </c>
      <c r="D36" s="2617" t="str">
        <f>D34</f>
        <v>万元</v>
      </c>
      <c r="E36" s="2326"/>
      <c r="F36" s="2326"/>
      <c r="G36" s="2326"/>
      <c r="H36" s="2326"/>
      <c r="I36" s="2326"/>
      <c r="J36" s="2741"/>
    </row>
    <row r="37" ht="15.15" spans="1:10">
      <c r="A37" s="2666"/>
      <c r="B37" s="2667" t="s">
        <v>655</v>
      </c>
      <c r="C37" s="2668">
        <f>IF('数据-取费表'!B3="万元",典型户型修正!Y25,典型户型修正!X25)</f>
        <v>0</v>
      </c>
      <c r="D37" s="2617" t="str">
        <f>D34</f>
        <v>万元</v>
      </c>
      <c r="E37" s="2326"/>
      <c r="F37" s="2326"/>
      <c r="G37" s="2326"/>
      <c r="H37" s="2326"/>
      <c r="I37" s="2326"/>
      <c r="J37" s="2741"/>
    </row>
    <row r="38" ht="15.15" spans="1:10">
      <c r="A38" s="1142" t="s">
        <v>657</v>
      </c>
      <c r="B38" s="2664" t="s">
        <v>658</v>
      </c>
      <c r="C38" s="2669"/>
      <c r="D38" s="2670"/>
      <c r="E38" s="2671"/>
      <c r="F38" s="2671"/>
      <c r="G38" s="2326"/>
      <c r="H38" s="2326"/>
      <c r="I38" s="2326"/>
      <c r="J38" s="2741"/>
    </row>
    <row r="39" ht="15.15" spans="1:10">
      <c r="A39" s="1154"/>
      <c r="B39" s="1313" t="s">
        <v>659</v>
      </c>
      <c r="C39" s="2672"/>
      <c r="D39" s="2673"/>
      <c r="E39" s="2673"/>
      <c r="F39" s="2671"/>
      <c r="G39" s="2673"/>
      <c r="H39" s="2673"/>
      <c r="I39" s="2673"/>
      <c r="J39" s="2746"/>
    </row>
    <row r="40" ht="15.15" spans="1:10">
      <c r="A40" s="2674"/>
      <c r="B40" s="2667" t="s">
        <v>660</v>
      </c>
      <c r="C40" s="2675"/>
      <c r="D40" s="2676" t="s">
        <v>661</v>
      </c>
      <c r="E40" s="2673"/>
      <c r="F40" s="2671"/>
      <c r="G40" s="2673"/>
      <c r="H40" s="2673"/>
      <c r="I40" s="2673"/>
      <c r="J40" s="2746"/>
    </row>
    <row r="41" ht="14.4" spans="1:10">
      <c r="A41" s="2629" t="s">
        <v>662</v>
      </c>
      <c r="B41" s="2677" t="s">
        <v>643</v>
      </c>
      <c r="C41" s="2678" t="s">
        <v>644</v>
      </c>
      <c r="D41" s="2678" t="s">
        <v>663</v>
      </c>
      <c r="E41" s="2679" t="s">
        <v>645</v>
      </c>
      <c r="F41" s="2671"/>
      <c r="G41" s="2673"/>
      <c r="H41" s="2673"/>
      <c r="I41" s="2673"/>
      <c r="J41" s="2746"/>
    </row>
    <row r="42" ht="14.4" spans="1:10">
      <c r="A42" s="2680" t="s">
        <v>664</v>
      </c>
      <c r="B42" s="2681"/>
      <c r="C42" s="2682"/>
      <c r="D42" s="2682"/>
      <c r="E42" s="2683"/>
      <c r="F42" s="2671"/>
      <c r="G42" s="2673"/>
      <c r="H42" s="2673"/>
      <c r="I42" s="2673"/>
      <c r="J42" s="2746"/>
    </row>
    <row r="43" ht="14.4" spans="1:10">
      <c r="A43" s="2680" t="s">
        <v>665</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666</v>
      </c>
      <c r="B46" s="2691"/>
      <c r="C46" s="2691"/>
      <c r="D46" s="2692"/>
      <c r="E46" s="2692"/>
      <c r="F46" s="2692"/>
      <c r="G46" s="2692"/>
      <c r="H46" s="2692"/>
      <c r="I46" s="2749" t="s">
        <v>667</v>
      </c>
      <c r="J46" s="2750"/>
      <c r="K46" s="2751" t="s">
        <v>668</v>
      </c>
      <c r="L46" s="2752"/>
      <c r="M46" s="2752"/>
      <c r="N46" s="2752"/>
      <c r="O46" s="2752"/>
      <c r="P46" s="2752"/>
    </row>
    <row r="47" ht="14.25" customHeight="1" spans="1:16">
      <c r="A47" s="2693" t="s">
        <v>669</v>
      </c>
      <c r="B47" s="2694"/>
      <c r="C47" s="2695"/>
      <c r="D47" s="2186">
        <f ca="1">ROUND(I104*F47,0)</f>
        <v>0</v>
      </c>
      <c r="E47" s="2275" t="s">
        <v>670</v>
      </c>
      <c r="F47" s="2696">
        <v>1</v>
      </c>
      <c r="G47" s="2697" t="s">
        <v>671</v>
      </c>
      <c r="H47" s="2326"/>
      <c r="I47" s="2326"/>
      <c r="J47" s="2741"/>
      <c r="K47" s="2753" t="s">
        <v>833</v>
      </c>
      <c r="L47" s="2753"/>
      <c r="M47" s="2753"/>
      <c r="N47" s="2753"/>
      <c r="O47" s="2753"/>
      <c r="P47" s="2753"/>
    </row>
    <row r="48" ht="14.25" customHeight="1" spans="1:16">
      <c r="A48" s="2698" t="s">
        <v>673</v>
      </c>
      <c r="B48" s="2699"/>
      <c r="C48" s="2699"/>
      <c r="D48" s="2699"/>
      <c r="E48" s="2699"/>
      <c r="F48" s="2699"/>
      <c r="G48" s="2700"/>
      <c r="H48" s="2701"/>
      <c r="I48" s="2326"/>
      <c r="J48" s="2741"/>
      <c r="K48" s="2754">
        <v>1</v>
      </c>
      <c r="L48" s="2755" t="s">
        <v>834</v>
      </c>
      <c r="M48" s="2755"/>
      <c r="N48" s="2756"/>
      <c r="O48" s="2756"/>
      <c r="P48" s="2756"/>
    </row>
    <row r="49" ht="12" customHeight="1" spans="1:16">
      <c r="A49" s="2702" t="s">
        <v>674</v>
      </c>
      <c r="B49" s="2703"/>
      <c r="C49" s="2704"/>
      <c r="D49" s="2224" t="s">
        <v>675</v>
      </c>
      <c r="E49" s="2174" t="s">
        <v>676</v>
      </c>
      <c r="F49" s="2392" t="s">
        <v>677</v>
      </c>
      <c r="G49" s="2705" t="s">
        <v>678</v>
      </c>
      <c r="H49" s="2701"/>
      <c r="I49" s="2326"/>
      <c r="J49" s="2741"/>
      <c r="K49" s="2754">
        <v>2</v>
      </c>
      <c r="L49" s="2755" t="s">
        <v>835</v>
      </c>
      <c r="M49" s="2755"/>
      <c r="N49" s="2757">
        <f>'数据-取费表'!B2</f>
        <v>44883</v>
      </c>
      <c r="O49" s="2757"/>
      <c r="P49" s="2757"/>
    </row>
    <row r="50" ht="25.2" spans="1:16">
      <c r="A50" s="2706" t="s">
        <v>680</v>
      </c>
      <c r="B50" s="2229"/>
      <c r="C50" s="2229"/>
      <c r="D50" s="2288">
        <f ca="1">IF(H50="情况1",0,IF(H50="情况2",D54,IF(H50="情况3",D55,IF(H50="情况4",D56))))</f>
        <v>0</v>
      </c>
      <c r="E50" s="2229" t="str">
        <f>IF(H50="情况4","(销售额-原购置价)×税（费）率","销售额×税（费）率")</f>
        <v>销售额×税（费）率</v>
      </c>
      <c r="F50" s="2707">
        <f>IF(H50="情况1","免征",'数据-取费表'!E29)</f>
        <v>0.055</v>
      </c>
      <c r="G50" s="2708" t="s">
        <v>681</v>
      </c>
      <c r="H50" s="2709" t="s">
        <v>836</v>
      </c>
      <c r="I50" s="2701"/>
      <c r="J50" s="2758"/>
      <c r="K50" s="2754">
        <v>3</v>
      </c>
      <c r="L50" s="2755" t="s">
        <v>837</v>
      </c>
      <c r="M50" s="2755"/>
      <c r="N50" s="2759">
        <f ca="1">I104</f>
        <v>0</v>
      </c>
      <c r="O50" s="2759"/>
      <c r="P50" s="2759"/>
    </row>
    <row r="51" ht="25.5" customHeight="1" spans="1:16">
      <c r="A51" s="2706" t="s">
        <v>684</v>
      </c>
      <c r="B51" s="2208" t="s">
        <v>685</v>
      </c>
      <c r="C51" s="2208"/>
      <c r="D51" s="2710">
        <v>0</v>
      </c>
      <c r="E51" s="2235" t="s">
        <v>686</v>
      </c>
      <c r="F51" s="2711" t="s">
        <v>121</v>
      </c>
      <c r="G51" s="2712"/>
      <c r="H51" s="2713" t="s">
        <v>838</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08" t="s">
        <v>688</v>
      </c>
      <c r="C52" s="2208"/>
      <c r="D52" s="2715"/>
      <c r="E52" s="2245"/>
      <c r="F52" s="2711"/>
      <c r="G52" s="2716"/>
      <c r="H52" s="2717" t="s">
        <v>689</v>
      </c>
      <c r="I52" s="2760"/>
      <c r="J52" s="2761"/>
      <c r="K52" s="2755" t="s">
        <v>839</v>
      </c>
      <c r="L52" s="2755"/>
      <c r="M52" s="2755"/>
      <c r="N52" s="2755"/>
      <c r="O52" s="2755"/>
      <c r="P52" s="2755"/>
    </row>
    <row r="53" ht="20.45" customHeight="1" spans="1:16">
      <c r="A53" s="2718"/>
      <c r="B53" s="2208" t="s">
        <v>691</v>
      </c>
      <c r="C53" s="2208"/>
      <c r="D53" s="2224"/>
      <c r="E53" s="467"/>
      <c r="F53" s="2711"/>
      <c r="G53" s="2719"/>
      <c r="H53" s="2717" t="s">
        <v>692</v>
      </c>
      <c r="I53" s="2760"/>
      <c r="J53" s="2761"/>
      <c r="K53" s="2755" t="s">
        <v>840</v>
      </c>
      <c r="L53" s="2755" t="s">
        <v>841</v>
      </c>
      <c r="M53" s="2755"/>
      <c r="N53" s="2755" t="s">
        <v>842</v>
      </c>
      <c r="O53" s="2755" t="s">
        <v>843</v>
      </c>
      <c r="P53" s="2755" t="s">
        <v>844</v>
      </c>
    </row>
    <row r="54" ht="24" customHeight="1" spans="1:16">
      <c r="A54" s="2720" t="s">
        <v>698</v>
      </c>
      <c r="B54" s="2208" t="s">
        <v>699</v>
      </c>
      <c r="C54" s="2208"/>
      <c r="D54" s="2224">
        <f ca="1">ROUND(D47*'数据-取费表'!E29/(1+'数据-取费表'!F30),0)</f>
        <v>0</v>
      </c>
      <c r="E54" s="2229" t="s">
        <v>700</v>
      </c>
      <c r="F54" s="2721">
        <f>'数据-取费表'!E29</f>
        <v>0.055</v>
      </c>
      <c r="G54" s="2722"/>
      <c r="H54" s="2326"/>
      <c r="I54" s="2762"/>
      <c r="J54" s="2761"/>
      <c r="K54" s="2754">
        <v>1</v>
      </c>
      <c r="L54" s="2754" t="s">
        <v>845</v>
      </c>
      <c r="M54" s="2754"/>
      <c r="N54" s="2763">
        <f ca="1">D50</f>
        <v>0</v>
      </c>
      <c r="O54" s="2754" t="str">
        <f>E50</f>
        <v>销售额×税（费）率</v>
      </c>
      <c r="P54" s="2764">
        <f>F50</f>
        <v>0.055</v>
      </c>
    </row>
    <row r="55" ht="12" customHeight="1" spans="1:16">
      <c r="A55" s="2720" t="s">
        <v>702</v>
      </c>
      <c r="B55" s="2207" t="s">
        <v>703</v>
      </c>
      <c r="C55" s="2723"/>
      <c r="D55" s="2224">
        <f ca="1">ROUND(D47*'数据-取费表'!E29/(1+'数据-取费表'!F30),0)</f>
        <v>0</v>
      </c>
      <c r="E55" s="2229" t="s">
        <v>700</v>
      </c>
      <c r="F55" s="2721">
        <f>'数据-取费表'!E29</f>
        <v>0.055</v>
      </c>
      <c r="G55" s="2722"/>
      <c r="H55" s="2326"/>
      <c r="I55" s="2762"/>
      <c r="J55" s="2761"/>
      <c r="K55" s="2754">
        <v>2</v>
      </c>
      <c r="L55" s="2754" t="s">
        <v>846</v>
      </c>
      <c r="M55" s="2754"/>
      <c r="N55" s="2763">
        <f ca="1" t="shared" ref="N55:P56" si="1">D57</f>
        <v>0</v>
      </c>
      <c r="O55" s="2754" t="str">
        <f t="shared" si="1"/>
        <v>销售额×税（费）率</v>
      </c>
      <c r="P55" s="2764">
        <f t="shared" si="1"/>
        <v>0.0005</v>
      </c>
    </row>
    <row r="56" ht="12" customHeight="1" spans="1:16">
      <c r="A56" s="2720" t="s">
        <v>705</v>
      </c>
      <c r="B56" s="2207" t="s">
        <v>706</v>
      </c>
      <c r="C56" s="2723"/>
      <c r="D56" s="2224">
        <f ca="1">C70</f>
        <v>0</v>
      </c>
      <c r="E56" s="467" t="s">
        <v>707</v>
      </c>
      <c r="F56" s="2721">
        <f>'数据-取费表'!E29</f>
        <v>0.055</v>
      </c>
      <c r="G56" s="2722"/>
      <c r="H56" s="2724"/>
      <c r="I56" s="2762"/>
      <c r="J56" s="2761"/>
      <c r="K56" s="2754">
        <v>3</v>
      </c>
      <c r="L56" s="2754" t="s">
        <v>847</v>
      </c>
      <c r="M56" s="2754"/>
      <c r="N56" s="2763">
        <f ca="1" t="shared" si="1"/>
        <v>0</v>
      </c>
      <c r="O56" s="2754" t="str">
        <f t="shared" si="1"/>
        <v>增值额×税（费）率</v>
      </c>
      <c r="P56" s="2765" t="str">
        <f t="shared" si="1"/>
        <v>——</v>
      </c>
    </row>
    <row r="57" ht="24" customHeight="1" spans="1:16">
      <c r="A57" s="2720" t="s">
        <v>709</v>
      </c>
      <c r="B57" s="2229"/>
      <c r="C57" s="2229"/>
      <c r="D57" s="2288">
        <f ca="1">IF(H57="个人住宅",0,ROUND(D47*I57,0))</f>
        <v>0</v>
      </c>
      <c r="E57" s="2229" t="s">
        <v>710</v>
      </c>
      <c r="F57" s="2721">
        <f>IF(H57="正常",I57,"免征")</f>
        <v>0.0005</v>
      </c>
      <c r="G57" s="2722"/>
      <c r="H57" s="2709" t="s">
        <v>848</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712</v>
      </c>
      <c r="B58" s="2229"/>
      <c r="C58" s="2229"/>
      <c r="D58" s="2288">
        <f ca="1">IF(H58="个人住宅",D59,D60)</f>
        <v>0</v>
      </c>
      <c r="E58" s="2229" t="s">
        <v>713</v>
      </c>
      <c r="F58" s="2721" t="str">
        <f>IF(H58="正常",F60,"免征")</f>
        <v>——</v>
      </c>
      <c r="G58" s="2725" t="s">
        <v>714</v>
      </c>
      <c r="H58" s="2726" t="s">
        <v>848</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684</v>
      </c>
      <c r="B59" s="2207" t="s">
        <v>715</v>
      </c>
      <c r="C59" s="2723"/>
      <c r="D59" s="2710">
        <v>0</v>
      </c>
      <c r="E59" s="2235" t="s">
        <v>686</v>
      </c>
      <c r="F59" s="2174"/>
      <c r="G59" s="2722"/>
      <c r="H59" s="2727"/>
      <c r="I59" s="2727"/>
      <c r="J59" s="2761"/>
      <c r="K59" s="2754">
        <f>IF(AND(K57="",K58=""),4,IF(项目基本情况!I6="上海银行",K58+1,K57+1))</f>
        <v>5</v>
      </c>
      <c r="L59" s="2754" t="s">
        <v>849</v>
      </c>
      <c r="M59" s="2773" t="s">
        <v>850</v>
      </c>
      <c r="N59" s="2774"/>
      <c r="O59" s="2775">
        <f ca="1">SUMIF(N54:N58,"&lt;9e307")</f>
        <v>0</v>
      </c>
      <c r="P59" s="2776"/>
      <c r="Q59" s="2788" t="e">
        <f ca="1">O59/N51</f>
        <v>#DIV/0!</v>
      </c>
    </row>
    <row r="60" ht="25.2" spans="1:16">
      <c r="A60" s="2720" t="s">
        <v>698</v>
      </c>
      <c r="B60" s="2207" t="s">
        <v>717</v>
      </c>
      <c r="C60" s="2208"/>
      <c r="D60" s="2288">
        <f ca="1">IF(H60="转让取得",C83,C99)</f>
        <v>0</v>
      </c>
      <c r="E60" s="2229" t="s">
        <v>713</v>
      </c>
      <c r="F60" s="2174" t="s">
        <v>121</v>
      </c>
      <c r="G60" s="2722"/>
      <c r="H60" s="2726" t="s">
        <v>851</v>
      </c>
      <c r="I60" s="2727"/>
      <c r="J60" s="2761"/>
      <c r="K60" s="2754"/>
      <c r="L60" s="2754"/>
      <c r="M60" s="2773" t="s">
        <v>852</v>
      </c>
      <c r="N60" s="2777"/>
      <c r="O60" s="2778" t="str">
        <f ca="1">IF(H19="元",NUMBERSTRING(INT(O59),2)&amp;"元整",NUMBERSTRING(INT(O59*10000),2)&amp;"元整")</f>
        <v>零元整</v>
      </c>
      <c r="P60" s="2779"/>
    </row>
    <row r="61" ht="25.95" spans="1:16">
      <c r="A61" s="2728" t="s">
        <v>720</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721</v>
      </c>
      <c r="H61" s="2733" t="s">
        <v>853</v>
      </c>
      <c r="I61" s="2780" t="s">
        <v>723</v>
      </c>
      <c r="J61" s="2761"/>
      <c r="K61" s="2768">
        <f>K59+1</f>
        <v>6</v>
      </c>
      <c r="L61" s="2754" t="s">
        <v>854</v>
      </c>
      <c r="M61" s="2754" t="s">
        <v>850</v>
      </c>
      <c r="N61" s="2781"/>
      <c r="O61" s="2782">
        <f ca="1">N51-O59</f>
        <v>0</v>
      </c>
      <c r="P61" s="2783"/>
    </row>
    <row r="62" ht="12" customHeight="1" spans="1:16">
      <c r="A62" s="2734"/>
      <c r="B62" s="2617"/>
      <c r="C62" s="2617"/>
      <c r="D62" s="2617"/>
      <c r="E62" s="2734"/>
      <c r="F62" s="2727"/>
      <c r="G62" s="2727"/>
      <c r="H62" s="2735"/>
      <c r="I62" s="2326"/>
      <c r="J62" s="2761"/>
      <c r="K62" s="2784"/>
      <c r="L62" s="2754"/>
      <c r="M62" s="2773" t="s">
        <v>852</v>
      </c>
      <c r="N62" s="2777"/>
      <c r="O62" s="2778" t="str">
        <f ca="1">IF(H19="元",NUMBERSTRING(INT(O61),2)&amp;"元整",NUMBERSTRING(INT(O61*10000),2)&amp;"元整")</f>
        <v>零元整</v>
      </c>
      <c r="P62" s="2779"/>
    </row>
    <row r="63" ht="15.15" spans="1:16">
      <c r="A63" s="2736" t="s">
        <v>724</v>
      </c>
      <c r="B63" s="2736"/>
      <c r="C63" s="2736"/>
      <c r="D63" s="2736"/>
      <c r="E63" s="2736"/>
      <c r="F63" s="2727"/>
      <c r="G63" s="2727"/>
      <c r="H63" s="2735"/>
      <c r="I63" s="2326"/>
      <c r="J63" s="2741"/>
      <c r="K63" s="2754">
        <f>K61+1</f>
        <v>7</v>
      </c>
      <c r="L63" s="2754" t="s">
        <v>855</v>
      </c>
      <c r="M63" s="2754"/>
      <c r="N63" s="2785"/>
      <c r="O63" s="2786">
        <f ca="1">IF(H19="元",ROUND(O61/项目基本情况!C12,0),ROUND(O61*10000/项目基本情况!C12,0))</f>
        <v>0</v>
      </c>
      <c r="P63" s="2787"/>
    </row>
    <row r="64" ht="14.4" spans="1:15">
      <c r="A64" s="479" t="s">
        <v>726</v>
      </c>
      <c r="B64" s="445"/>
      <c r="C64" s="445"/>
      <c r="D64" s="445" t="s">
        <v>727</v>
      </c>
      <c r="E64" s="2737" t="s">
        <v>678</v>
      </c>
      <c r="F64" s="2727"/>
      <c r="G64" s="2727"/>
      <c r="H64" s="2735"/>
      <c r="I64" s="2326"/>
      <c r="J64" s="2741"/>
      <c r="K64" s="2602"/>
      <c r="L64" s="2602"/>
      <c r="M64" s="2602"/>
      <c r="N64" s="2602"/>
      <c r="O64" s="2602"/>
    </row>
    <row r="65" ht="14.4" spans="1:15">
      <c r="A65" s="2790">
        <v>1</v>
      </c>
      <c r="B65" s="2791" t="s">
        <v>728</v>
      </c>
      <c r="C65" s="2792">
        <f ca="1">ROUND((C66+C67)/(1+'数据-取费表'!F30),0)</f>
        <v>0</v>
      </c>
      <c r="D65" s="2791"/>
      <c r="E65" s="2793"/>
      <c r="F65" s="2727"/>
      <c r="G65" s="2727"/>
      <c r="H65" s="2735"/>
      <c r="I65" s="2326"/>
      <c r="J65" s="2741"/>
      <c r="K65" s="2859" t="s">
        <v>856</v>
      </c>
      <c r="L65" s="2859" t="s">
        <v>857</v>
      </c>
      <c r="M65" s="2859">
        <f ca="1">IF(N51&gt;10000,N51*0.5%,IF(AND(N51&gt;1000,N51&lt;=10000),N51*1%,IF(AND(N51&gt;100,N51&lt;=1000),N51*3%,IF(AND(N51&gt;10,N51&lt;=100),N51*5%,N51*8%))))</f>
        <v>0</v>
      </c>
      <c r="N65" s="2174">
        <f ca="1">ROUND(M65,1)</f>
        <v>0</v>
      </c>
      <c r="O65" s="2905"/>
    </row>
    <row r="66" ht="14.4" spans="1:15">
      <c r="A66" s="2794" t="s">
        <v>731</v>
      </c>
      <c r="B66" s="430" t="s">
        <v>732</v>
      </c>
      <c r="C66" s="2795">
        <f ca="1">D47</f>
        <v>0</v>
      </c>
      <c r="D66" s="430" t="s">
        <v>121</v>
      </c>
      <c r="E66" s="2796"/>
      <c r="F66" s="2727"/>
      <c r="G66" s="2727"/>
      <c r="H66" s="2735"/>
      <c r="I66" s="2326"/>
      <c r="J66" s="2741"/>
      <c r="K66" s="2859"/>
      <c r="L66" s="2859" t="s">
        <v>858</v>
      </c>
      <c r="M66" s="2859"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5" t="s">
        <v>859</v>
      </c>
    </row>
    <row r="67" ht="14.4" spans="1:15">
      <c r="A67" s="2794" t="s">
        <v>735</v>
      </c>
      <c r="B67" s="430" t="s">
        <v>736</v>
      </c>
      <c r="C67" s="2797"/>
      <c r="D67" s="430"/>
      <c r="E67" s="2796"/>
      <c r="F67" s="2727"/>
      <c r="G67" s="2727"/>
      <c r="H67" s="2735"/>
      <c r="I67" s="2326"/>
      <c r="J67" s="2741"/>
      <c r="K67" s="2859"/>
      <c r="L67" s="2859" t="s">
        <v>860</v>
      </c>
      <c r="M67" s="2859" t="b">
        <f ca="1">IF(N51&gt;1000,N51*0.1%,IF(AND(N51&gt;500,N51&lt;=1000),N51*0.5%,IF(AND(N51&gt;50,N51&lt;=500),N51*1%,IF(AND(N51&gt;1,N51&lt;=50),N51*1.5%))))</f>
        <v>0</v>
      </c>
      <c r="N67" s="2174">
        <f ca="1" t="shared" si="2"/>
        <v>0</v>
      </c>
      <c r="O67" s="2905" t="s">
        <v>859</v>
      </c>
    </row>
    <row r="68" ht="14.4" spans="1:15">
      <c r="A68" s="2798" t="s">
        <v>738</v>
      </c>
      <c r="B68" s="536" t="s">
        <v>739</v>
      </c>
      <c r="C68" s="2799"/>
      <c r="D68" s="536" t="s">
        <v>121</v>
      </c>
      <c r="E68" s="2800" t="s">
        <v>740</v>
      </c>
      <c r="F68" s="2727"/>
      <c r="G68" s="2727"/>
      <c r="H68" s="2735"/>
      <c r="I68" s="2326"/>
      <c r="J68" s="2741"/>
      <c r="K68" s="2859"/>
      <c r="L68" s="2859" t="s">
        <v>861</v>
      </c>
      <c r="M68" s="2859">
        <f ca="1">N51*0.5%</f>
        <v>0</v>
      </c>
      <c r="N68" s="2174">
        <f ca="1">IF(M68&gt;0.5,0.5,ROUND(M68,0))</f>
        <v>0</v>
      </c>
      <c r="O68" s="2905" t="s">
        <v>862</v>
      </c>
    </row>
    <row r="69" ht="14.4" spans="1:15">
      <c r="A69" s="2798" t="s">
        <v>743</v>
      </c>
      <c r="B69" s="536" t="s">
        <v>744</v>
      </c>
      <c r="C69" s="2801">
        <f ca="1">C65-C68</f>
        <v>0</v>
      </c>
      <c r="D69" s="430" t="s">
        <v>121</v>
      </c>
      <c r="E69" s="2796"/>
      <c r="F69" s="2727"/>
      <c r="G69" s="2727"/>
      <c r="H69" s="2735"/>
      <c r="I69" s="2326"/>
      <c r="J69" s="2741"/>
      <c r="K69" s="2859"/>
      <c r="L69" s="2859" t="s">
        <v>863</v>
      </c>
      <c r="M69" s="2859"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5"/>
    </row>
    <row r="70" ht="15.15" spans="1:15">
      <c r="A70" s="2802" t="s">
        <v>746</v>
      </c>
      <c r="B70" s="557" t="s">
        <v>747</v>
      </c>
      <c r="C70" s="2803">
        <f ca="1">IF(C69&lt;=0,0,ROUND(C69*D70,0))</f>
        <v>0</v>
      </c>
      <c r="D70" s="651">
        <f>'数据-取费表'!E29</f>
        <v>0.055</v>
      </c>
      <c r="E70" s="2804"/>
      <c r="F70" s="2727"/>
      <c r="G70" s="2727"/>
      <c r="H70" s="2735"/>
      <c r="I70" s="2326"/>
      <c r="J70" s="2741"/>
      <c r="K70" s="2859"/>
      <c r="L70" s="2859" t="s">
        <v>864</v>
      </c>
      <c r="M70" s="2859">
        <f ca="1">IF(N51&gt;10000,N51*0.5%,IF(AND(N51&gt;5000,N51&lt;=10000),N51*1%,IF(AND(N51&gt;1000,N51&lt;=5000),N51*2%,IF(AND(N51&gt;200,N51&lt;=1000),N51*3%,N51*5%))))</f>
        <v>0</v>
      </c>
      <c r="N70" s="2174">
        <f ca="1">ROUND(M70,1)</f>
        <v>0</v>
      </c>
      <c r="O70" s="2905"/>
    </row>
    <row r="71" s="2600" customFormat="1" ht="7.5" customHeight="1" spans="1:36">
      <c r="A71" s="2805"/>
      <c r="B71" s="527"/>
      <c r="C71" s="2806"/>
      <c r="D71" s="578"/>
      <c r="E71" s="2688"/>
      <c r="F71" s="2734"/>
      <c r="G71" s="2734"/>
      <c r="H71" s="2688"/>
      <c r="I71" s="2617"/>
      <c r="J71" s="2741"/>
      <c r="K71" s="2859"/>
      <c r="L71" s="2859" t="s">
        <v>865</v>
      </c>
      <c r="M71" s="2859"/>
      <c r="N71" s="2174">
        <f ca="1">ROUND(SUM(N65:N70),0)</f>
        <v>0</v>
      </c>
      <c r="O71" s="2906" t="e">
        <f ca="1">N71/N51</f>
        <v>#DIV/0!</v>
      </c>
      <c r="P71" s="1809"/>
      <c r="Q71" s="1809"/>
      <c r="R71" s="1809"/>
      <c r="S71" s="1809"/>
      <c r="T71" s="1809"/>
      <c r="U71" s="1809"/>
      <c r="V71" s="1809"/>
      <c r="W71" s="1809"/>
      <c r="X71" s="1809"/>
      <c r="Y71" s="1809"/>
      <c r="Z71" s="1809"/>
      <c r="AA71" s="1809"/>
      <c r="AB71" s="2602"/>
      <c r="AC71" s="2602"/>
      <c r="AD71" s="2602"/>
      <c r="AE71" s="2602"/>
      <c r="AF71" s="2602"/>
      <c r="AG71" s="2602"/>
      <c r="AH71" s="2602"/>
      <c r="AI71" s="2602"/>
      <c r="AJ71" s="2602"/>
    </row>
    <row r="72" s="2601" customFormat="1" ht="14.55" spans="1:36">
      <c r="A72" s="2807" t="s">
        <v>749</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726</v>
      </c>
      <c r="B73" s="445"/>
      <c r="C73" s="445"/>
      <c r="D73" s="445" t="s">
        <v>727</v>
      </c>
      <c r="E73" s="2808" t="s">
        <v>678</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750</v>
      </c>
      <c r="C74" s="2801">
        <f ca="1">ROUND(D47/(1+'数据-取费表'!F30),0)</f>
        <v>0</v>
      </c>
      <c r="D74" s="430" t="s">
        <v>121</v>
      </c>
      <c r="E74" s="2207"/>
      <c r="F74" s="2208"/>
      <c r="G74" s="2208"/>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392" t="s">
        <v>752</v>
      </c>
      <c r="C75" s="2801">
        <f ca="1">C76+C80</f>
        <v>0</v>
      </c>
      <c r="D75" s="430" t="s">
        <v>121</v>
      </c>
      <c r="E75" s="2207"/>
      <c r="F75" s="2208"/>
      <c r="G75" s="2208"/>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753</v>
      </c>
      <c r="B76" s="430" t="s">
        <v>754</v>
      </c>
      <c r="C76" s="430">
        <f>ROUND(IF(G79="2016年5月1日后购买",C77/(1+'数据-取费表'!F30)+C78+C79,C77+C78+C79),0)</f>
        <v>0</v>
      </c>
      <c r="D76" s="430" t="s">
        <v>121</v>
      </c>
      <c r="E76" s="2207"/>
      <c r="F76" s="2208"/>
      <c r="G76" s="2208"/>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755</v>
      </c>
      <c r="B77" s="430" t="s">
        <v>756</v>
      </c>
      <c r="C77" s="560"/>
      <c r="D77" s="430" t="s">
        <v>121</v>
      </c>
      <c r="E77" s="2814" t="s">
        <v>757</v>
      </c>
      <c r="F77" s="2815" t="s">
        <v>758</v>
      </c>
      <c r="G77" s="2814" t="s">
        <v>759</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760</v>
      </c>
      <c r="B78" s="452" t="s">
        <v>761</v>
      </c>
      <c r="C78" s="430">
        <f>IF(F77="购房发票",ROUND(C77*H77*D78,0),0)</f>
        <v>0</v>
      </c>
      <c r="D78" s="2817">
        <v>0.05</v>
      </c>
      <c r="E78" s="2207" t="s">
        <v>762</v>
      </c>
      <c r="F78" s="2208"/>
      <c r="G78" s="2208"/>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763</v>
      </c>
      <c r="B79" s="430" t="s">
        <v>764</v>
      </c>
      <c r="C79" s="430">
        <f>ROUND(IF(G79="个人住宅",0,IF(G79="2016年5月1日前购买",C77*D79,C77*D79/(1+'数据-取费表'!F30))),0)</f>
        <v>0</v>
      </c>
      <c r="D79" s="2819">
        <f>'数据-取费表'!E36+'数据-取费表'!E37</f>
        <v>0.0305</v>
      </c>
      <c r="E79" s="2288" t="s">
        <v>765</v>
      </c>
      <c r="F79" s="1309"/>
      <c r="G79" s="2820" t="s">
        <v>766</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767</v>
      </c>
      <c r="B80" s="430" t="s">
        <v>768</v>
      </c>
      <c r="C80" s="2821">
        <f ca="1">ROUND(D47*D80/(1+'数据-取费表'!F30),0)</f>
        <v>0</v>
      </c>
      <c r="D80" s="2822">
        <f>'数据-取费表'!E31</f>
        <v>0.005</v>
      </c>
      <c r="E80" s="2823" t="s">
        <v>769</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743</v>
      </c>
      <c r="B81" s="536" t="s">
        <v>770</v>
      </c>
      <c r="C81" s="2801">
        <f ca="1">C74-C75</f>
        <v>0</v>
      </c>
      <c r="D81" s="430" t="s">
        <v>121</v>
      </c>
      <c r="E81" s="2207"/>
      <c r="F81" s="2208"/>
      <c r="G81" s="2208"/>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746</v>
      </c>
      <c r="B82" s="536" t="s">
        <v>771</v>
      </c>
      <c r="C82" s="2826">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772</v>
      </c>
      <c r="B83" s="557" t="s">
        <v>773</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774</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726</v>
      </c>
      <c r="B86" s="445"/>
      <c r="C86" s="445"/>
      <c r="D86" s="445" t="s">
        <v>727</v>
      </c>
      <c r="E86" s="2808" t="s">
        <v>678</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750</v>
      </c>
      <c r="C87" s="2801">
        <f ca="1">ROUND(D47/(1+'数据-取费表'!F30),0)</f>
        <v>0</v>
      </c>
      <c r="D87" s="430" t="s">
        <v>121</v>
      </c>
      <c r="E87" s="2207"/>
      <c r="F87" s="2208"/>
      <c r="G87" s="2208"/>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392" t="s">
        <v>752</v>
      </c>
      <c r="C88" s="2801">
        <f ca="1">IF(H90="仅含出让金",C89+C92+C93+C94+C95+C96,C89+C93+C94+C95+C96)</f>
        <v>0</v>
      </c>
      <c r="D88" s="2833"/>
      <c r="E88" s="2207"/>
      <c r="F88" s="2208"/>
      <c r="G88" s="2208"/>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753</v>
      </c>
      <c r="B89" s="430" t="s">
        <v>775</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755</v>
      </c>
      <c r="B90" s="430" t="s">
        <v>776</v>
      </c>
      <c r="C90" s="2834"/>
      <c r="D90" s="2822"/>
      <c r="E90" s="2766" t="s">
        <v>777</v>
      </c>
      <c r="F90" s="2824"/>
      <c r="G90" s="2835" t="s">
        <v>778</v>
      </c>
      <c r="H90" s="2836"/>
      <c r="I90" s="564"/>
      <c r="J90" s="2911"/>
      <c r="K90" s="2913" t="s">
        <v>779</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760</v>
      </c>
      <c r="B91" s="430" t="s">
        <v>764</v>
      </c>
      <c r="C91" s="2821">
        <f>ROUND(C90*D91,0)</f>
        <v>0</v>
      </c>
      <c r="D91" s="2822">
        <f>'数据-取费表'!E36+'数据-取费表'!E37</f>
        <v>0.0305</v>
      </c>
      <c r="E91" s="2766" t="s">
        <v>780</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767</v>
      </c>
      <c r="B92" s="430" t="s">
        <v>781</v>
      </c>
      <c r="C92" s="2834"/>
      <c r="D92" s="2822"/>
      <c r="E92" s="2766" t="str">
        <f>IF(H90="-","土地取得成本中已包含该笔费用"," ")</f>
        <v/>
      </c>
      <c r="F92" s="2824"/>
      <c r="G92" s="2837" t="s">
        <v>782</v>
      </c>
      <c r="H92" s="2838"/>
      <c r="I92" s="564"/>
      <c r="J92" s="2911"/>
      <c r="K92" s="2913" t="s">
        <v>783</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784</v>
      </c>
      <c r="B93" s="430" t="s">
        <v>785</v>
      </c>
      <c r="C93" s="2821">
        <f>IF(H93="——",成本法!C33,I93)</f>
        <v>0</v>
      </c>
      <c r="D93" s="2822"/>
      <c r="E93" s="2823" t="s">
        <v>786</v>
      </c>
      <c r="F93" s="2824"/>
      <c r="G93" s="2824"/>
      <c r="H93" s="2839" t="s">
        <v>787</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788</v>
      </c>
      <c r="B94" s="430" t="s">
        <v>789</v>
      </c>
      <c r="C94" s="2821">
        <f>ROUND((C89+C92+C93)*D94,0)</f>
        <v>0</v>
      </c>
      <c r="D94" s="2822">
        <v>0.1</v>
      </c>
      <c r="E94" s="2823" t="s">
        <v>790</v>
      </c>
      <c r="F94" s="2824"/>
      <c r="G94" s="2824"/>
      <c r="H94" s="2825"/>
      <c r="I94" s="564"/>
      <c r="J94" s="2911"/>
      <c r="K94" s="2917" t="s">
        <v>791</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792</v>
      </c>
      <c r="B95" s="430" t="s">
        <v>768</v>
      </c>
      <c r="C95" s="2821">
        <f ca="1">ROUND(D47*D95/(1+'数据-取费表'!F30),0)</f>
        <v>0</v>
      </c>
      <c r="D95" s="2822">
        <f>'数据-取费表'!E31</f>
        <v>0.005</v>
      </c>
      <c r="E95" s="2823" t="s">
        <v>769</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793</v>
      </c>
      <c r="B96" s="430" t="s">
        <v>794</v>
      </c>
      <c r="C96" s="2821">
        <f>ROUND((C89+C92+C93)*D96,0)</f>
        <v>0</v>
      </c>
      <c r="D96" s="2822">
        <v>0.2</v>
      </c>
      <c r="E96" s="2823" t="s">
        <v>795</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743</v>
      </c>
      <c r="B97" s="536" t="s">
        <v>770</v>
      </c>
      <c r="C97" s="2801">
        <f ca="1">ROUND(C87-C88,0)</f>
        <v>0</v>
      </c>
      <c r="D97" s="430" t="s">
        <v>121</v>
      </c>
      <c r="E97" s="2207"/>
      <c r="F97" s="2208"/>
      <c r="G97" s="2208"/>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746</v>
      </c>
      <c r="B98" s="536" t="s">
        <v>771</v>
      </c>
      <c r="C98" s="2826">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772</v>
      </c>
      <c r="B99" s="557" t="s">
        <v>773</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796</v>
      </c>
      <c r="B100" s="2606"/>
      <c r="C100" s="2606"/>
      <c r="D100" s="2606"/>
      <c r="E100" s="2844"/>
      <c r="F100" s="2844"/>
      <c r="G100" s="2844"/>
      <c r="H100" s="2845"/>
      <c r="I100" s="2606"/>
    </row>
    <row r="101" ht="14.4" spans="1:10">
      <c r="A101" s="2846" t="s">
        <v>797</v>
      </c>
      <c r="B101" s="2847"/>
      <c r="C101" s="2847"/>
      <c r="D101" s="2848"/>
      <c r="E101" s="2606"/>
      <c r="F101" s="2849" t="s">
        <v>866</v>
      </c>
      <c r="G101" s="2850"/>
      <c r="H101" s="2850"/>
      <c r="I101" s="2920"/>
      <c r="J101" s="2921"/>
    </row>
    <row r="102" ht="15" spans="1:10">
      <c r="A102" s="2851" t="s">
        <v>799</v>
      </c>
      <c r="B102" s="2852"/>
      <c r="C102" s="2853">
        <f>C4</f>
        <v>0</v>
      </c>
      <c r="D102" s="2854">
        <f>D4</f>
        <v>0</v>
      </c>
      <c r="E102" s="2606"/>
      <c r="F102" s="2855" t="s">
        <v>800</v>
      </c>
      <c r="G102" s="2856"/>
      <c r="H102" s="2857" t="s">
        <v>801</v>
      </c>
      <c r="I102" s="2922"/>
      <c r="J102" s="2923"/>
    </row>
    <row r="103" ht="14.4" spans="1:10">
      <c r="A103" s="2858" t="s">
        <v>867</v>
      </c>
      <c r="B103" s="538" t="str">
        <f>IF(H19="元","总价（元）","总价（万元）")</f>
        <v>总价（万元）</v>
      </c>
      <c r="C103" s="2859" t="e">
        <f ca="1">C19</f>
        <v>#REF!</v>
      </c>
      <c r="D103" s="2860" t="e">
        <f ca="1">D19</f>
        <v>#REF!</v>
      </c>
      <c r="E103" s="2606"/>
      <c r="F103" s="2861"/>
      <c r="G103" s="2862"/>
      <c r="H103" s="2863">
        <f>典型户型修正!B25</f>
        <v>644.12</v>
      </c>
      <c r="I103" s="2922"/>
      <c r="J103" s="2923"/>
    </row>
    <row r="104" ht="14.4" spans="1:10">
      <c r="A104" s="2858"/>
      <c r="B104" s="538" t="s">
        <v>803</v>
      </c>
      <c r="C104" s="2864" t="e">
        <f ca="1">C20</f>
        <v>#REF!</v>
      </c>
      <c r="D104" s="2865" t="e">
        <f ca="1">D20</f>
        <v>#REF!</v>
      </c>
      <c r="E104" s="2606"/>
      <c r="F104" s="2813" t="s">
        <v>804</v>
      </c>
      <c r="G104" s="2392"/>
      <c r="H104" s="2866" t="str">
        <f>C110</f>
        <v>总价（万元）</v>
      </c>
      <c r="I104" s="2883">
        <f ca="1">H125</f>
        <v>0</v>
      </c>
      <c r="J104" s="2923"/>
    </row>
    <row r="105" ht="14.4" spans="1:10">
      <c r="A105" s="2858" t="s">
        <v>868</v>
      </c>
      <c r="B105" s="539" t="str">
        <f>B103</f>
        <v>总价（万元）</v>
      </c>
      <c r="C105" s="2288" t="e">
        <f ca="1">ROUND(IF('数据-取费表'!B4="总价",G19,IF(H19="元",G20*'数据-取费表'!E5,G20*'数据-取费表'!E5/10000)),0)</f>
        <v>#REF!</v>
      </c>
      <c r="D105" s="2867"/>
      <c r="E105" s="2606"/>
      <c r="F105" s="2813"/>
      <c r="G105" s="2392"/>
      <c r="H105" s="2866" t="s">
        <v>803</v>
      </c>
      <c r="I105" s="2796">
        <f ca="1">I125</f>
        <v>0</v>
      </c>
      <c r="J105" s="2740"/>
    </row>
    <row r="106" ht="14.4" spans="1:10">
      <c r="A106" s="2858"/>
      <c r="B106" s="538" t="s">
        <v>803</v>
      </c>
      <c r="C106" s="2688" t="e">
        <f ca="1">ROUND(IF('数据-取费表'!B4="楼面单价",G20,IF(H19="元",G19/'数据-取费表'!E5,G19*10000/'数据-取费表'!E5)),0)</f>
        <v>#REF!</v>
      </c>
      <c r="D106" s="2867"/>
      <c r="E106" s="2606"/>
      <c r="F106" s="2813"/>
      <c r="G106" s="2392"/>
      <c r="H106" s="2866"/>
      <c r="I106" s="2924"/>
      <c r="J106" s="2925"/>
    </row>
    <row r="107" ht="14.4" spans="1:10">
      <c r="A107" s="2868" t="s">
        <v>869</v>
      </c>
      <c r="B107" s="2869" t="str">
        <f>B103</f>
        <v>总价（万元）</v>
      </c>
      <c r="C107" s="2870">
        <f ca="1">H125</f>
        <v>0</v>
      </c>
      <c r="D107" s="2871"/>
      <c r="E107" s="2606"/>
      <c r="F107" s="2872" t="s">
        <v>807</v>
      </c>
      <c r="G107" s="2873"/>
      <c r="H107" s="2874" t="str">
        <f>C112</f>
        <v>总额（万元）</v>
      </c>
      <c r="I107" s="2883">
        <f>SUMIF(I108:I110,"&lt;9E307")</f>
        <v>0</v>
      </c>
      <c r="J107" s="2923"/>
    </row>
    <row r="108" ht="15.15" spans="1:17">
      <c r="A108" s="587"/>
      <c r="B108" s="2875" t="s">
        <v>803</v>
      </c>
      <c r="C108" s="2876">
        <f ca="1">I125</f>
        <v>0</v>
      </c>
      <c r="D108" s="2877"/>
      <c r="E108" s="2606"/>
      <c r="F108" s="2878" t="s">
        <v>808</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806</v>
      </c>
      <c r="B109" s="2881"/>
      <c r="C109" s="2881"/>
      <c r="D109" s="2882"/>
      <c r="E109" s="2606"/>
      <c r="F109" s="2878" t="s">
        <v>809</v>
      </c>
      <c r="G109" s="2879"/>
      <c r="H109" s="2874" t="str">
        <f>C114</f>
        <v>总额（万元）</v>
      </c>
      <c r="I109" s="2796">
        <f>C39</f>
        <v>0</v>
      </c>
      <c r="J109" s="2740"/>
    </row>
    <row r="110" ht="14.4" spans="1:10">
      <c r="A110" s="2813" t="s">
        <v>870</v>
      </c>
      <c r="B110" s="2392"/>
      <c r="C110" s="2866" t="str">
        <f>B103</f>
        <v>总价（万元）</v>
      </c>
      <c r="D110" s="2883">
        <f ca="1">H125</f>
        <v>0</v>
      </c>
      <c r="E110" s="2606"/>
      <c r="F110" s="2878" t="s">
        <v>810</v>
      </c>
      <c r="G110" s="2879"/>
      <c r="H110" s="2874" t="str">
        <f>C115</f>
        <v>总额（万元）</v>
      </c>
      <c r="I110" s="2796">
        <f>C40</f>
        <v>0</v>
      </c>
      <c r="J110" s="2740"/>
    </row>
    <row r="111" ht="14.4" spans="1:10">
      <c r="A111" s="2813"/>
      <c r="B111" s="2392"/>
      <c r="C111" s="2866" t="s">
        <v>803</v>
      </c>
      <c r="D111" s="2796">
        <f ca="1">I125</f>
        <v>0</v>
      </c>
      <c r="E111" s="2606"/>
      <c r="F111" s="2813"/>
      <c r="G111" s="2392"/>
      <c r="H111" s="572"/>
      <c r="I111" s="2928"/>
      <c r="J111" s="2929"/>
    </row>
    <row r="112" ht="28.5" customHeight="1" spans="1:10">
      <c r="A112" s="2884" t="s">
        <v>807</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808</v>
      </c>
      <c r="B113" s="2879"/>
      <c r="C113" s="2874" t="str">
        <f>C112</f>
        <v>总额（万元）</v>
      </c>
      <c r="D113" s="2796">
        <f>IF(D38="同一抵押权人同一抵押物续贷",C38&amp;"（未扣减，详见特别提示）",C38)</f>
        <v>0</v>
      </c>
      <c r="E113" s="2606"/>
      <c r="F113" s="2887"/>
      <c r="G113" s="2704"/>
      <c r="H113" s="2866" t="s">
        <v>803</v>
      </c>
      <c r="I113" s="2930">
        <f ca="1">D117</f>
        <v>0</v>
      </c>
      <c r="J113" s="2931"/>
    </row>
    <row r="114" ht="14.4" spans="1:10">
      <c r="A114" s="2878" t="s">
        <v>809</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810</v>
      </c>
      <c r="B115" s="2879"/>
      <c r="C115" s="2874" t="str">
        <f>C112</f>
        <v>总额（万元）</v>
      </c>
      <c r="D115" s="2796">
        <f>C40</f>
        <v>0</v>
      </c>
      <c r="E115" s="2606"/>
      <c r="F115" s="2887"/>
      <c r="G115" s="2704"/>
      <c r="H115" s="2866" t="s">
        <v>803</v>
      </c>
      <c r="I115" s="2796" t="str">
        <f ca="1">D119</f>
        <v>——</v>
      </c>
      <c r="J115" s="2740"/>
    </row>
    <row r="116" ht="14.4" spans="1:10">
      <c r="A116" s="2813" t="str">
        <f>IF(项目基本情况!F5="已注销","——","3.房地产抵押价值")</f>
        <v>3.房地产抵押价值</v>
      </c>
      <c r="B116" s="2392"/>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392"/>
      <c r="C117" s="2866" t="s">
        <v>803</v>
      </c>
      <c r="D117" s="2796">
        <f ca="1">ROUND(IF(D116=D110,D111,IF(H19="元",D116/B125,D116*10000/B125)),0)</f>
        <v>0</v>
      </c>
      <c r="E117" s="2606"/>
      <c r="F117" s="2888"/>
      <c r="G117" s="2889"/>
      <c r="H117" s="2890" t="s">
        <v>803</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392"/>
      <c r="C118" s="2866" t="str">
        <f>B103</f>
        <v>总价（万元）</v>
      </c>
      <c r="D118" s="2883" t="str">
        <f ca="1">IF(A118="——","——",D110-D114-D115)</f>
        <v>——</v>
      </c>
      <c r="E118" s="2606"/>
      <c r="F118" s="2891"/>
      <c r="G118" s="2891"/>
      <c r="H118" s="2892"/>
      <c r="I118" s="2892"/>
      <c r="J118" s="2932"/>
      <c r="O118" s="1806"/>
      <c r="P118" s="1806"/>
    </row>
    <row r="119" s="2602" customFormat="1" ht="13.2" spans="1:27">
      <c r="A119" s="2813"/>
      <c r="B119" s="2392"/>
      <c r="C119" s="2866" t="s">
        <v>803</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09"/>
      <c r="L119" s="1809"/>
      <c r="M119" s="1809"/>
      <c r="N119" s="1809"/>
      <c r="O119" s="1806"/>
      <c r="P119" s="1806"/>
      <c r="Q119" s="1809"/>
      <c r="R119" s="1809"/>
      <c r="S119" s="1809"/>
      <c r="T119" s="1809"/>
      <c r="U119" s="1809"/>
      <c r="V119" s="1809"/>
      <c r="W119" s="1809"/>
      <c r="X119" s="1809"/>
      <c r="Y119" s="1809"/>
      <c r="Z119" s="1809"/>
      <c r="AA119" s="1809"/>
    </row>
    <row r="120" s="2602" customFormat="1" ht="13.2" spans="1:27">
      <c r="A120" s="2813" t="str">
        <f>IF(项目基本情况!G5="抵押净值",IF(OR(项目基本情况!F5="已注销",项目基本情况!F5="房地产抵押价值"),"4.抵押净值","5.抵押净值"),"——")</f>
        <v>——</v>
      </c>
      <c r="B120" s="2392"/>
      <c r="C120" s="2866" t="str">
        <f>B103</f>
        <v>总价（万元）</v>
      </c>
      <c r="D120" s="2883" t="str">
        <f ca="1">IF(A120="——","——",O61)</f>
        <v>——</v>
      </c>
      <c r="E120" s="2606"/>
      <c r="F120" s="719"/>
      <c r="G120" s="719"/>
      <c r="H120" s="719"/>
      <c r="I120" s="719"/>
      <c r="J120" s="2933"/>
      <c r="K120" s="1809"/>
      <c r="L120" s="1809"/>
      <c r="M120" s="1809"/>
      <c r="N120" s="1809"/>
      <c r="O120" s="1806"/>
      <c r="P120" s="1806"/>
      <c r="Q120" s="1809"/>
      <c r="R120" s="1809"/>
      <c r="S120" s="1809"/>
      <c r="T120" s="1809"/>
      <c r="U120" s="1809"/>
      <c r="V120" s="1809"/>
      <c r="W120" s="1809"/>
      <c r="X120" s="1809"/>
      <c r="Y120" s="1809"/>
      <c r="Z120" s="1809"/>
      <c r="AA120" s="1809"/>
    </row>
    <row r="121" s="2602" customFormat="1" ht="13.95" spans="1:27">
      <c r="A121" s="2893"/>
      <c r="B121" s="2827"/>
      <c r="C121" s="2890" t="s">
        <v>803</v>
      </c>
      <c r="D121" s="2894" t="str">
        <f ca="1">IF(D120=D110,D111,IF(A120="——","——",O63))</f>
        <v>——</v>
      </c>
      <c r="E121" s="2606"/>
      <c r="F121" s="719"/>
      <c r="G121" s="719"/>
      <c r="H121" s="719"/>
      <c r="I121" s="719"/>
      <c r="J121" s="2933"/>
      <c r="K121" s="1809"/>
      <c r="L121" s="1809"/>
      <c r="M121" s="1809"/>
      <c r="N121" s="1809"/>
      <c r="O121" s="1806"/>
      <c r="P121" s="1806"/>
      <c r="Q121" s="1809"/>
      <c r="R121" s="1809"/>
      <c r="S121" s="1809"/>
      <c r="T121" s="1809"/>
      <c r="U121" s="1809"/>
      <c r="V121" s="1809"/>
      <c r="W121" s="1809"/>
      <c r="X121" s="1809"/>
      <c r="Y121" s="1809"/>
      <c r="Z121" s="1809"/>
      <c r="AA121" s="1809"/>
    </row>
    <row r="122" s="2602" customFormat="1" ht="14.4" spans="1:27">
      <c r="A122" s="2895" t="s">
        <v>811</v>
      </c>
      <c r="B122" s="2896"/>
      <c r="C122" s="2896"/>
      <c r="D122" s="2896"/>
      <c r="E122" s="2896"/>
      <c r="F122" s="2896"/>
      <c r="G122" s="2896"/>
      <c r="H122" s="2896"/>
      <c r="I122" s="2896"/>
      <c r="J122" s="2934"/>
      <c r="K122" s="1809"/>
      <c r="L122" s="1809"/>
      <c r="M122" s="1809"/>
      <c r="N122" s="1809"/>
      <c r="O122" s="1809"/>
      <c r="P122" s="1809"/>
      <c r="Q122" s="1809"/>
      <c r="R122" s="1809"/>
      <c r="S122" s="1809"/>
      <c r="T122" s="1809"/>
      <c r="U122" s="1809"/>
      <c r="V122" s="1809"/>
      <c r="W122" s="1809"/>
      <c r="X122" s="1809"/>
      <c r="Y122" s="1809"/>
      <c r="Z122" s="1809"/>
      <c r="AA122" s="1809"/>
    </row>
    <row r="123" s="2602" customFormat="1" ht="13.2" spans="1:27">
      <c r="A123" s="2720" t="s">
        <v>812</v>
      </c>
      <c r="B123" s="2235" t="s">
        <v>359</v>
      </c>
      <c r="C123" s="2235" t="s">
        <v>813</v>
      </c>
      <c r="D123" s="2897" t="s">
        <v>814</v>
      </c>
      <c r="E123" s="2898"/>
      <c r="F123" s="2229" t="s">
        <v>656</v>
      </c>
      <c r="G123" s="2229"/>
      <c r="H123" s="2229" t="s">
        <v>815</v>
      </c>
      <c r="I123" s="2796"/>
      <c r="J123" s="2740"/>
      <c r="K123" s="1809"/>
      <c r="L123" s="1809"/>
      <c r="M123" s="1809"/>
      <c r="N123" s="1809"/>
      <c r="O123" s="1809"/>
      <c r="P123" s="1809"/>
      <c r="Q123" s="1809"/>
      <c r="R123" s="1809"/>
      <c r="S123" s="1809"/>
      <c r="T123" s="1809"/>
      <c r="U123" s="1809"/>
      <c r="V123" s="1809"/>
      <c r="W123" s="1809"/>
      <c r="X123" s="1809"/>
      <c r="Y123" s="1809"/>
      <c r="Z123" s="1809"/>
      <c r="AA123" s="1809"/>
    </row>
    <row r="124" s="2602" customFormat="1" ht="13.2" spans="1:27">
      <c r="A124" s="2720"/>
      <c r="B124" s="467"/>
      <c r="C124" s="467"/>
      <c r="D124" s="2229" t="s">
        <v>816</v>
      </c>
      <c r="E124" s="2229" t="s">
        <v>817</v>
      </c>
      <c r="F124" s="2229" t="s">
        <v>816</v>
      </c>
      <c r="G124" s="2229" t="s">
        <v>817</v>
      </c>
      <c r="H124" s="2229" t="s">
        <v>816</v>
      </c>
      <c r="I124" s="2796" t="s">
        <v>817</v>
      </c>
      <c r="J124" s="2740"/>
      <c r="K124" s="1809"/>
      <c r="L124" s="1809"/>
      <c r="M124" s="1809"/>
      <c r="N124" s="1809"/>
      <c r="O124" s="1809"/>
      <c r="P124" s="1809"/>
      <c r="Q124" s="1809"/>
      <c r="R124" s="1809"/>
      <c r="S124" s="1809"/>
      <c r="T124" s="1809"/>
      <c r="U124" s="1809"/>
      <c r="V124" s="1809"/>
      <c r="W124" s="1809"/>
      <c r="X124" s="1809"/>
      <c r="Y124" s="1809"/>
      <c r="Z124" s="1809"/>
      <c r="AA124" s="1809"/>
    </row>
    <row r="125" s="2602" customFormat="1" ht="13.2" spans="1:27">
      <c r="A125" s="2720" t="str">
        <f>项目基本情况!I1</f>
        <v>北京市房地产</v>
      </c>
      <c r="B125" s="2229">
        <f>典型户型修正!B25</f>
        <v>644.12</v>
      </c>
      <c r="C125" s="2899"/>
      <c r="D125" s="2229">
        <f>C36</f>
        <v>0</v>
      </c>
      <c r="E125" s="2229">
        <f>ROUND(IF(H19="元",D125/B125,D125*10000/B125),0)</f>
        <v>0</v>
      </c>
      <c r="F125" s="2229">
        <f>C37</f>
        <v>0</v>
      </c>
      <c r="G125" s="2229">
        <f>ROUND(IF(H19="元",F125/B125,F125*10000/B125),0)</f>
        <v>0</v>
      </c>
      <c r="H125" s="2229">
        <f ca="1">C34</f>
        <v>0</v>
      </c>
      <c r="I125" s="2796">
        <f ca="1">C35</f>
        <v>0</v>
      </c>
      <c r="J125" s="2740"/>
      <c r="K125" s="1809"/>
      <c r="L125" s="1809"/>
      <c r="M125" s="1809"/>
      <c r="N125" s="1809"/>
      <c r="O125" s="1809"/>
      <c r="P125" s="1809"/>
      <c r="Q125" s="1809"/>
      <c r="R125" s="1809"/>
      <c r="S125" s="1809"/>
      <c r="T125" s="1809"/>
      <c r="U125" s="1809"/>
      <c r="V125" s="1809"/>
      <c r="W125" s="1809"/>
      <c r="X125" s="1809"/>
      <c r="Y125" s="1809"/>
      <c r="Z125" s="1809"/>
      <c r="AA125" s="1809"/>
    </row>
    <row r="126" s="2602" customFormat="1" ht="13.2" spans="1:27">
      <c r="A126" s="2720" t="s">
        <v>818</v>
      </c>
      <c r="B126" s="2229"/>
      <c r="C126" s="2229"/>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09"/>
      <c r="L126" s="1809"/>
      <c r="M126" s="1809"/>
      <c r="N126" s="1809"/>
      <c r="O126" s="1809"/>
      <c r="P126" s="1809"/>
      <c r="Q126" s="1809"/>
      <c r="R126" s="1809"/>
      <c r="S126" s="1809"/>
      <c r="T126" s="1809"/>
      <c r="U126" s="1809"/>
      <c r="V126" s="1809"/>
      <c r="W126" s="1809"/>
      <c r="X126" s="1809"/>
      <c r="Y126" s="1809"/>
      <c r="Z126" s="1809"/>
      <c r="AA126" s="1809"/>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09"/>
      <c r="L127" s="1809"/>
      <c r="M127" s="1809"/>
      <c r="N127" s="1809"/>
      <c r="O127" s="1809"/>
      <c r="P127" s="1809"/>
      <c r="Q127" s="1809"/>
      <c r="R127" s="1809"/>
      <c r="S127" s="1809"/>
      <c r="T127" s="1809"/>
      <c r="U127" s="1809"/>
      <c r="V127" s="1809"/>
      <c r="W127" s="1809"/>
      <c r="X127" s="1809"/>
      <c r="Y127" s="1809"/>
      <c r="Z127" s="1809"/>
      <c r="AA127" s="1809"/>
    </row>
    <row r="128" s="2602" customFormat="1" ht="13.2" spans="1:27">
      <c r="A128" s="2902" t="s">
        <v>818</v>
      </c>
      <c r="B128" s="2208"/>
      <c r="C128" s="2723"/>
      <c r="D128" s="2903">
        <f>H111</f>
        <v>0</v>
      </c>
      <c r="E128" s="2904"/>
      <c r="F128" s="2904"/>
      <c r="G128" s="2904"/>
      <c r="H128" s="2904"/>
      <c r="I128" s="2937"/>
      <c r="J128" s="2938"/>
      <c r="K128" s="1809"/>
      <c r="L128" s="1809"/>
      <c r="M128" s="1809"/>
      <c r="N128" s="1809"/>
      <c r="O128" s="1809"/>
      <c r="P128" s="1809"/>
      <c r="Q128" s="1809"/>
      <c r="R128" s="1809"/>
      <c r="S128" s="1809"/>
      <c r="T128" s="1809"/>
      <c r="U128" s="1809"/>
      <c r="V128" s="1809"/>
      <c r="W128" s="1809"/>
      <c r="X128" s="1809"/>
      <c r="Y128" s="1809"/>
      <c r="Z128" s="1809"/>
      <c r="AA128" s="1809"/>
    </row>
    <row r="129" s="2602" customFormat="1" ht="13.2" spans="1:27">
      <c r="A129" s="2813" t="str">
        <f>IF(项目基本情况!D5="房地产市场价值","——",MID(A116,3,LEN(A116)-2))</f>
        <v>房地产抵押价值</v>
      </c>
      <c r="B129" s="2392"/>
      <c r="C129" s="2392"/>
      <c r="D129" s="2863">
        <f ca="1">I112</f>
        <v>0</v>
      </c>
      <c r="E129" s="2857"/>
      <c r="F129" s="2857"/>
      <c r="G129" s="2857"/>
      <c r="H129" s="2857"/>
      <c r="I129" s="2922"/>
      <c r="J129" s="2923"/>
      <c r="K129" s="1809"/>
      <c r="L129" s="1809"/>
      <c r="M129" s="1809"/>
      <c r="N129" s="1809"/>
      <c r="O129" s="1809"/>
      <c r="P129" s="1809"/>
      <c r="Q129" s="1809"/>
      <c r="R129" s="1809"/>
      <c r="S129" s="1809"/>
      <c r="T129" s="1809"/>
      <c r="U129" s="1809"/>
      <c r="V129" s="1809"/>
      <c r="W129" s="1809"/>
      <c r="X129" s="1809"/>
      <c r="Y129" s="1809"/>
      <c r="Z129" s="1809"/>
      <c r="AA129" s="1809"/>
    </row>
    <row r="130" s="2602" customFormat="1" ht="13.2" spans="1:27">
      <c r="A130" s="2720" t="s">
        <v>818</v>
      </c>
      <c r="B130" s="2229"/>
      <c r="C130" s="2229"/>
      <c r="D130" s="2903">
        <f ca="1">I113</f>
        <v>0</v>
      </c>
      <c r="E130" s="2904"/>
      <c r="F130" s="2904"/>
      <c r="G130" s="2904"/>
      <c r="H130" s="2904"/>
      <c r="I130" s="2937"/>
      <c r="J130" s="2938"/>
      <c r="K130" s="1809"/>
      <c r="L130" s="1809"/>
      <c r="M130" s="1809"/>
      <c r="N130" s="1809"/>
      <c r="O130" s="1809"/>
      <c r="P130" s="1809"/>
      <c r="Q130" s="1809"/>
      <c r="R130" s="1809"/>
      <c r="S130" s="1809"/>
      <c r="T130" s="1809"/>
      <c r="U130" s="1809"/>
      <c r="V130" s="1809"/>
      <c r="W130" s="1809"/>
      <c r="X130" s="1809"/>
      <c r="Y130" s="1809"/>
      <c r="Z130" s="1809"/>
      <c r="AA130" s="1809"/>
    </row>
    <row r="131" s="2602" customFormat="1" ht="13.95" spans="1:27">
      <c r="A131" s="2813" t="str">
        <f>IF(项目基本情况!D5="房地产市场价值","——",MID(A118,3,LEN(A118)-2))</f>
        <v/>
      </c>
      <c r="B131" s="2392"/>
      <c r="C131" s="2392"/>
      <c r="D131" s="2693" t="str">
        <f ca="1">I114</f>
        <v>——</v>
      </c>
      <c r="E131" s="2694"/>
      <c r="F131" s="2694"/>
      <c r="G131" s="2694"/>
      <c r="H131" s="2694"/>
      <c r="I131" s="2961"/>
      <c r="J131" s="2923"/>
      <c r="K131" s="1809"/>
      <c r="L131" s="1809"/>
      <c r="M131" s="1809"/>
      <c r="N131" s="1809"/>
      <c r="O131" s="1809"/>
      <c r="P131" s="1809"/>
      <c r="Q131" s="1809"/>
      <c r="R131" s="1809"/>
      <c r="S131" s="1809"/>
      <c r="T131" s="1809"/>
      <c r="U131" s="1809"/>
      <c r="V131" s="1809"/>
      <c r="W131" s="1809"/>
      <c r="X131" s="1809"/>
      <c r="Y131" s="1809"/>
      <c r="Z131" s="1809"/>
      <c r="AA131" s="1809"/>
    </row>
    <row r="132" s="2602" customFormat="1" ht="14.7" spans="1:27">
      <c r="A132" s="2720" t="s">
        <v>818</v>
      </c>
      <c r="B132" s="2229"/>
      <c r="C132" s="2207"/>
      <c r="D132" s="2939" t="str">
        <f ca="1">I115</f>
        <v>——</v>
      </c>
      <c r="E132" s="2939"/>
      <c r="F132" s="2939"/>
      <c r="G132" s="2939"/>
      <c r="H132" s="2939"/>
      <c r="I132" s="2939"/>
      <c r="J132" s="2938"/>
      <c r="K132" s="1809"/>
      <c r="L132" s="1809"/>
      <c r="M132" s="1809"/>
      <c r="N132" s="1809"/>
      <c r="O132" s="1809"/>
      <c r="P132" s="1809"/>
      <c r="Q132" s="1809"/>
      <c r="R132" s="1809"/>
      <c r="S132" s="1809"/>
      <c r="T132" s="1809"/>
      <c r="U132" s="1809"/>
      <c r="V132" s="1809"/>
      <c r="W132" s="1809"/>
      <c r="X132" s="1809"/>
      <c r="Y132" s="1809"/>
      <c r="Z132" s="1809"/>
      <c r="AA132" s="1809"/>
    </row>
    <row r="133" s="2602" customFormat="1" ht="14.7" spans="1:27">
      <c r="A133" s="2813" t="str">
        <f>IF(项目基本情况!D5="房地产市场价值","——",MID(F116,3,LEN(F116)-2))</f>
        <v/>
      </c>
      <c r="B133" s="2392"/>
      <c r="C133" s="2863"/>
      <c r="D133" s="2940" t="str">
        <f ca="1">I116</f>
        <v>——</v>
      </c>
      <c r="E133" s="2940"/>
      <c r="F133" s="2940"/>
      <c r="G133" s="2940"/>
      <c r="H133" s="2940"/>
      <c r="I133" s="2940"/>
      <c r="J133" s="2923"/>
      <c r="K133" s="1809"/>
      <c r="L133" s="1809"/>
      <c r="M133" s="1809"/>
      <c r="N133" s="1809"/>
      <c r="O133" s="1809"/>
      <c r="P133" s="1809"/>
      <c r="Q133" s="1809"/>
      <c r="R133" s="1809"/>
      <c r="S133" s="1809"/>
      <c r="T133" s="1809"/>
      <c r="U133" s="1809"/>
      <c r="V133" s="1809"/>
      <c r="W133" s="1809"/>
      <c r="X133" s="1809"/>
      <c r="Y133" s="1809"/>
      <c r="Z133" s="1809"/>
      <c r="AA133" s="1809"/>
    </row>
    <row r="134" s="2602" customFormat="1" ht="14.7" spans="1:27">
      <c r="A134" s="2728" t="s">
        <v>818</v>
      </c>
      <c r="B134" s="2729"/>
      <c r="C134" s="2729"/>
      <c r="D134" s="2941">
        <f>H118</f>
        <v>0</v>
      </c>
      <c r="E134" s="2942"/>
      <c r="F134" s="2942"/>
      <c r="G134" s="2942"/>
      <c r="H134" s="2942"/>
      <c r="I134" s="2962"/>
      <c r="J134" s="2938"/>
      <c r="K134" s="1809"/>
      <c r="L134" s="1809"/>
      <c r="M134" s="1809"/>
      <c r="N134" s="1809"/>
      <c r="O134" s="1809"/>
      <c r="P134" s="1809"/>
      <c r="Q134" s="1809"/>
      <c r="R134" s="1809"/>
      <c r="S134" s="1809"/>
      <c r="T134" s="1809"/>
      <c r="U134" s="1809"/>
      <c r="V134" s="1809"/>
      <c r="W134" s="1809"/>
      <c r="X134" s="1809"/>
      <c r="Y134" s="1809"/>
      <c r="Z134" s="1809"/>
      <c r="AA134" s="1809"/>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09"/>
      <c r="L135" s="1809"/>
      <c r="M135" s="1809"/>
      <c r="N135" s="1809"/>
      <c r="O135" s="1809"/>
      <c r="P135" s="1809"/>
      <c r="Q135" s="1809"/>
      <c r="R135" s="1809"/>
      <c r="S135" s="1809"/>
      <c r="T135" s="1809"/>
      <c r="U135" s="1809"/>
      <c r="V135" s="1809"/>
      <c r="W135" s="1809"/>
      <c r="X135" s="1809"/>
      <c r="Y135" s="1809"/>
      <c r="Z135" s="1809"/>
      <c r="AA135" s="1809"/>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09"/>
      <c r="L136" s="1809"/>
      <c r="M136" s="1809"/>
      <c r="N136" s="1809"/>
      <c r="O136" s="1809"/>
      <c r="P136" s="1809"/>
      <c r="Q136" s="1809"/>
      <c r="R136" s="1809"/>
      <c r="S136" s="1809"/>
      <c r="T136" s="1809"/>
      <c r="U136" s="1809"/>
      <c r="V136" s="1809"/>
      <c r="W136" s="1809"/>
      <c r="X136" s="1809"/>
      <c r="Y136" s="1809"/>
      <c r="Z136" s="1809"/>
      <c r="AA136" s="1809"/>
    </row>
    <row r="137" s="2602" customFormat="1" customHeight="1" spans="1:27">
      <c r="A137" s="2944" t="s">
        <v>819</v>
      </c>
      <c r="B137" s="2945"/>
      <c r="C137" s="2946" t="s">
        <v>820</v>
      </c>
      <c r="D137" s="2947"/>
      <c r="E137" s="2947"/>
      <c r="F137" s="2947"/>
      <c r="G137" s="2947"/>
      <c r="H137" s="2948"/>
      <c r="I137" s="2964"/>
      <c r="J137" s="2965"/>
      <c r="K137" s="1809"/>
      <c r="L137" s="1809"/>
      <c r="M137" s="1809"/>
      <c r="N137" s="1809"/>
      <c r="O137" s="1809"/>
      <c r="P137" s="1809"/>
      <c r="Q137" s="1809"/>
      <c r="R137" s="1809"/>
      <c r="S137" s="1809"/>
      <c r="T137" s="1809"/>
      <c r="U137" s="1809"/>
      <c r="V137" s="1809"/>
      <c r="W137" s="1809"/>
      <c r="X137" s="1809"/>
      <c r="Y137" s="1809"/>
      <c r="Z137" s="1809"/>
      <c r="AA137" s="1809"/>
    </row>
    <row r="138" s="2602" customFormat="1" customHeight="1" spans="1:27">
      <c r="A138" s="2949">
        <v>1</v>
      </c>
      <c r="B138" s="2950"/>
      <c r="C138" s="2950"/>
      <c r="D138" s="2947"/>
      <c r="E138" s="2947"/>
      <c r="F138" s="2947"/>
      <c r="G138" s="2947"/>
      <c r="H138" s="2948"/>
      <c r="I138" s="2964"/>
      <c r="J138" s="2965"/>
      <c r="K138" s="1809"/>
      <c r="L138" s="1809"/>
      <c r="M138" s="1809"/>
      <c r="N138" s="1809"/>
      <c r="O138" s="1809"/>
      <c r="P138" s="1809"/>
      <c r="Q138" s="1809"/>
      <c r="R138" s="1809"/>
      <c r="S138" s="1809"/>
      <c r="T138" s="1809"/>
      <c r="U138" s="1809"/>
      <c r="V138" s="1809"/>
      <c r="W138" s="1809"/>
      <c r="X138" s="1809"/>
      <c r="Y138" s="1809"/>
      <c r="Z138" s="1809"/>
      <c r="AA138" s="1809"/>
    </row>
    <row r="139" s="2602" customFormat="1" customHeight="1" spans="1:27">
      <c r="A139" s="2949">
        <v>2</v>
      </c>
      <c r="B139" s="2950"/>
      <c r="C139" s="2950"/>
      <c r="D139" s="2947"/>
      <c r="E139" s="2947"/>
      <c r="F139" s="2947"/>
      <c r="G139" s="2947"/>
      <c r="H139" s="2948"/>
      <c r="I139" s="2964"/>
      <c r="J139" s="2965"/>
      <c r="K139" s="1809"/>
      <c r="L139" s="1809"/>
      <c r="M139" s="1809"/>
      <c r="N139" s="1809"/>
      <c r="O139" s="1809"/>
      <c r="P139" s="1809"/>
      <c r="Q139" s="1809"/>
      <c r="R139" s="1809"/>
      <c r="S139" s="1809"/>
      <c r="T139" s="1809"/>
      <c r="U139" s="1809"/>
      <c r="V139" s="1809"/>
      <c r="W139" s="1809"/>
      <c r="X139" s="1809"/>
      <c r="Y139" s="1809"/>
      <c r="Z139" s="1809"/>
      <c r="AA139" s="1809"/>
    </row>
    <row r="140" s="2602" customFormat="1" customHeight="1" spans="1:27">
      <c r="A140" s="2949">
        <v>3</v>
      </c>
      <c r="B140" s="2950"/>
      <c r="C140" s="2950"/>
      <c r="D140" s="2947"/>
      <c r="E140" s="2947"/>
      <c r="F140" s="1806"/>
      <c r="G140" s="1806"/>
      <c r="H140" s="1806"/>
      <c r="I140" s="1806"/>
      <c r="J140" s="2966"/>
      <c r="K140" s="1809"/>
      <c r="L140" s="1809"/>
      <c r="M140" s="1809"/>
      <c r="N140" s="1809"/>
      <c r="O140" s="1809"/>
      <c r="P140" s="1809"/>
      <c r="Q140" s="1809"/>
      <c r="R140" s="1809"/>
      <c r="S140" s="1809"/>
      <c r="T140" s="1809"/>
      <c r="U140" s="1809"/>
      <c r="V140" s="1809"/>
      <c r="W140" s="1809"/>
      <c r="X140" s="1809"/>
      <c r="Y140" s="1809"/>
      <c r="Z140" s="1809"/>
      <c r="AA140" s="1809"/>
    </row>
    <row r="141" s="2602" customFormat="1" customHeight="1" spans="1:27">
      <c r="A141" s="2951"/>
      <c r="B141" s="2952"/>
      <c r="C141" s="2952"/>
      <c r="D141" s="2953"/>
      <c r="E141" s="2953"/>
      <c r="F141" s="2953"/>
      <c r="G141" s="2953"/>
      <c r="H141" s="2954"/>
      <c r="I141" s="2967"/>
      <c r="J141" s="2965"/>
      <c r="K141" s="1809"/>
      <c r="L141" s="1809"/>
      <c r="M141" s="1809"/>
      <c r="N141" s="1809"/>
      <c r="O141" s="1809"/>
      <c r="P141" s="1809"/>
      <c r="Q141" s="1809"/>
      <c r="R141" s="1809"/>
      <c r="S141" s="1809"/>
      <c r="T141" s="1809"/>
      <c r="U141" s="1809"/>
      <c r="V141" s="1809"/>
      <c r="W141" s="1809"/>
      <c r="X141" s="1809"/>
      <c r="Y141" s="1809"/>
      <c r="Z141" s="1809"/>
      <c r="AA141" s="1809"/>
    </row>
    <row r="142" s="2602" customFormat="1" customHeight="1" spans="1:27">
      <c r="A142" s="2950"/>
      <c r="B142" s="2950"/>
      <c r="C142" s="2950"/>
      <c r="D142" s="2947"/>
      <c r="E142" s="2947"/>
      <c r="F142" s="2947"/>
      <c r="G142" s="2947"/>
      <c r="H142" s="2948"/>
      <c r="I142" s="1809"/>
      <c r="J142" s="2966"/>
      <c r="K142" s="1809"/>
      <c r="L142" s="1809"/>
      <c r="M142" s="1809"/>
      <c r="N142" s="1809"/>
      <c r="O142" s="1809"/>
      <c r="P142" s="1809"/>
      <c r="Q142" s="1809"/>
      <c r="R142" s="1809"/>
      <c r="S142" s="1809"/>
      <c r="T142" s="1809"/>
      <c r="U142" s="1809"/>
      <c r="V142" s="1809"/>
      <c r="W142" s="1809"/>
      <c r="X142" s="1809"/>
      <c r="Y142" s="1809"/>
      <c r="Z142" s="1809"/>
      <c r="AA142" s="1809"/>
    </row>
    <row r="143" s="2602" customFormat="1" customHeight="1" spans="1:27">
      <c r="A143" s="1809"/>
      <c r="B143" s="1809"/>
      <c r="C143" s="1809"/>
      <c r="D143" s="1809"/>
      <c r="E143" s="1809"/>
      <c r="F143" s="2955" t="s">
        <v>821</v>
      </c>
      <c r="G143" s="2956"/>
      <c r="H143" s="2956"/>
      <c r="I143" s="2968" t="s">
        <v>822</v>
      </c>
      <c r="J143" s="2969"/>
      <c r="K143" s="1809"/>
      <c r="L143" s="1809"/>
      <c r="M143" s="1809"/>
      <c r="N143" s="1809"/>
      <c r="O143" s="1809"/>
      <c r="P143" s="1809"/>
      <c r="Q143" s="1809"/>
      <c r="R143" s="1809"/>
      <c r="S143" s="1809"/>
      <c r="T143" s="1809"/>
      <c r="U143" s="1809"/>
      <c r="V143" s="1809"/>
      <c r="W143" s="1809"/>
      <c r="X143" s="1809"/>
      <c r="Y143" s="1809"/>
      <c r="Z143" s="1809"/>
      <c r="AA143" s="1809"/>
    </row>
    <row r="144" s="2602" customFormat="1" customHeight="1" spans="1:27">
      <c r="A144" s="1809"/>
      <c r="B144" s="2957" t="s">
        <v>823</v>
      </c>
      <c r="C144" s="1809"/>
      <c r="D144" s="1809"/>
      <c r="E144" s="1809"/>
      <c r="F144" s="1809"/>
      <c r="G144" s="1809"/>
      <c r="H144" s="1809"/>
      <c r="I144" s="1809"/>
      <c r="J144" s="2966"/>
      <c r="K144" s="1809"/>
      <c r="L144" s="1809"/>
      <c r="M144" s="1809"/>
      <c r="N144" s="1809"/>
      <c r="O144" s="1809"/>
      <c r="P144" s="1809"/>
      <c r="Q144" s="1809"/>
      <c r="R144" s="1809"/>
      <c r="S144" s="1809"/>
      <c r="T144" s="1809"/>
      <c r="U144" s="1809"/>
      <c r="V144" s="1809"/>
      <c r="W144" s="1809"/>
      <c r="X144" s="1809"/>
      <c r="Y144" s="1809"/>
      <c r="Z144" s="1809"/>
      <c r="AA144" s="1809"/>
    </row>
    <row r="145" s="2602" customFormat="1" customHeight="1" spans="1:27">
      <c r="A145" s="1809"/>
      <c r="B145" s="1809"/>
      <c r="C145" s="1809"/>
      <c r="D145" s="1809"/>
      <c r="E145" s="1809"/>
      <c r="F145" s="1809"/>
      <c r="G145" s="1809"/>
      <c r="H145" s="1809"/>
      <c r="I145" s="1809"/>
      <c r="J145" s="2966"/>
      <c r="K145" s="1809"/>
      <c r="L145" s="1809"/>
      <c r="M145" s="1809"/>
      <c r="N145" s="1809"/>
      <c r="O145" s="1809"/>
      <c r="P145" s="1809"/>
      <c r="Q145" s="1809"/>
      <c r="R145" s="1809"/>
      <c r="S145" s="1809"/>
      <c r="T145" s="1809"/>
      <c r="U145" s="1809"/>
      <c r="V145" s="1809"/>
      <c r="W145" s="1809"/>
      <c r="X145" s="1809"/>
      <c r="Y145" s="1809"/>
      <c r="Z145" s="1809"/>
      <c r="AA145" s="1809"/>
    </row>
    <row r="146" s="2602" customFormat="1" customHeight="1" spans="1:27">
      <c r="A146" s="1809"/>
      <c r="B146" s="2956"/>
      <c r="C146" s="2956"/>
      <c r="D146" s="2956"/>
      <c r="E146" s="2956"/>
      <c r="F146" s="2956"/>
      <c r="G146" s="2956"/>
      <c r="H146" s="2956"/>
      <c r="I146" s="2968" t="s">
        <v>824</v>
      </c>
      <c r="J146" s="2969"/>
      <c r="K146" s="1809"/>
      <c r="L146" s="1809"/>
      <c r="M146" s="1809"/>
      <c r="N146" s="1809"/>
      <c r="O146" s="1809"/>
      <c r="P146" s="1809"/>
      <c r="Q146" s="1809"/>
      <c r="R146" s="1809"/>
      <c r="S146" s="1809"/>
      <c r="T146" s="1809"/>
      <c r="U146" s="1809"/>
      <c r="V146" s="1809"/>
      <c r="W146" s="1809"/>
      <c r="X146" s="1809"/>
      <c r="Y146" s="1809"/>
      <c r="Z146" s="1809"/>
      <c r="AA146" s="1809"/>
    </row>
    <row r="147" s="2602" customFormat="1" customHeight="1" spans="1:27">
      <c r="A147" s="1809"/>
      <c r="B147" s="2957" t="s">
        <v>825</v>
      </c>
      <c r="C147" s="1809"/>
      <c r="D147" s="1809"/>
      <c r="E147" s="180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row>
    <row r="148" s="2602" customFormat="1" customHeight="1" spans="1:27">
      <c r="A148" s="1809"/>
      <c r="B148" s="2957"/>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row>
    <row r="149" s="2602" customFormat="1" customHeight="1" spans="1:27">
      <c r="A149" s="1809"/>
      <c r="B149" s="2956"/>
      <c r="C149" s="2956"/>
      <c r="D149" s="2956"/>
      <c r="E149" s="2956"/>
      <c r="F149" s="2956"/>
      <c r="G149" s="2956"/>
      <c r="H149" s="2956"/>
      <c r="I149" s="2968" t="s">
        <v>824</v>
      </c>
      <c r="J149" s="2969"/>
      <c r="K149" s="1809"/>
      <c r="L149" s="1809"/>
      <c r="M149" s="1809"/>
      <c r="N149" s="1809"/>
      <c r="O149" s="1809"/>
      <c r="P149" s="1809"/>
      <c r="Q149" s="1809"/>
      <c r="R149" s="1809"/>
      <c r="S149" s="1809"/>
      <c r="T149" s="1809"/>
      <c r="U149" s="1809"/>
      <c r="V149" s="1809"/>
      <c r="W149" s="1809"/>
      <c r="X149" s="1809"/>
      <c r="Y149" s="1809"/>
      <c r="Z149" s="1809"/>
      <c r="AA149" s="1809"/>
    </row>
    <row r="150" s="2602" customFormat="1" customHeight="1" spans="1:27">
      <c r="A150" s="1809"/>
      <c r="B150" s="2957"/>
      <c r="C150" s="2958"/>
      <c r="D150" s="2959"/>
      <c r="E150" s="2959"/>
      <c r="F150" s="2960"/>
      <c r="G150" s="1809"/>
      <c r="H150" s="1809"/>
      <c r="I150" s="1809"/>
      <c r="J150" s="2966"/>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57"/>
      <c r="C151" s="2958"/>
      <c r="D151" s="2959"/>
      <c r="E151" s="2959"/>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2602" customFormat="1" customHeight="1" spans="10:27">
      <c r="J383" s="2604"/>
      <c r="K383" s="1809"/>
      <c r="L383" s="1809"/>
      <c r="M383" s="1809"/>
      <c r="N383" s="1809"/>
      <c r="O383" s="1809"/>
      <c r="P383" s="1809"/>
      <c r="Q383" s="1809"/>
      <c r="R383" s="1809"/>
      <c r="S383" s="1809"/>
      <c r="T383" s="1809"/>
      <c r="U383" s="1809"/>
      <c r="V383" s="1809"/>
      <c r="W383" s="1809"/>
      <c r="X383" s="1809"/>
      <c r="Y383" s="1809"/>
      <c r="Z383" s="1809"/>
      <c r="AA383" s="1809"/>
    </row>
    <row r="384" s="2602" customFormat="1" customHeight="1" spans="10:27">
      <c r="J384" s="2604"/>
      <c r="K384" s="1809"/>
      <c r="L384" s="1809"/>
      <c r="M384" s="1809"/>
      <c r="N384" s="1809"/>
      <c r="O384" s="1809"/>
      <c r="P384" s="1809"/>
      <c r="Q384" s="1809"/>
      <c r="R384" s="1809"/>
      <c r="S384" s="1809"/>
      <c r="T384" s="1809"/>
      <c r="U384" s="1809"/>
      <c r="V384" s="1809"/>
      <c r="W384" s="1809"/>
      <c r="X384" s="1809"/>
      <c r="Y384" s="1809"/>
      <c r="Z384" s="1809"/>
      <c r="AA384" s="1809"/>
    </row>
    <row r="385" s="2602" customFormat="1" customHeight="1" spans="10:27">
      <c r="J385" s="2604"/>
      <c r="K385" s="1809"/>
      <c r="L385" s="1809"/>
      <c r="M385" s="1809"/>
      <c r="N385" s="1809"/>
      <c r="O385" s="1809"/>
      <c r="P385" s="1809"/>
      <c r="Q385" s="1809"/>
      <c r="R385" s="1809"/>
      <c r="S385" s="1809"/>
      <c r="T385" s="1809"/>
      <c r="U385" s="1809"/>
      <c r="V385" s="1809"/>
      <c r="W385" s="1809"/>
      <c r="X385" s="1809"/>
      <c r="Y385" s="1809"/>
      <c r="Z385" s="1809"/>
      <c r="AA385" s="1809"/>
    </row>
    <row r="386" s="2602" customFormat="1" customHeight="1" spans="10:27">
      <c r="J386" s="2604"/>
      <c r="K386" s="1809"/>
      <c r="L386" s="1809"/>
      <c r="M386" s="1809"/>
      <c r="N386" s="1809"/>
      <c r="O386" s="1809"/>
      <c r="P386" s="1809"/>
      <c r="Q386" s="1809"/>
      <c r="R386" s="1809"/>
      <c r="S386" s="1809"/>
      <c r="T386" s="1809"/>
      <c r="U386" s="1809"/>
      <c r="V386" s="1809"/>
      <c r="W386" s="1809"/>
      <c r="X386" s="1809"/>
      <c r="Y386" s="1809"/>
      <c r="Z386" s="1809"/>
      <c r="AA386" s="1809"/>
    </row>
    <row r="387" s="2602" customFormat="1" customHeight="1" spans="10:27">
      <c r="J387" s="2604"/>
      <c r="K387" s="1809"/>
      <c r="L387" s="1809"/>
      <c r="M387" s="1809"/>
      <c r="N387" s="1809"/>
      <c r="O387" s="1809"/>
      <c r="P387" s="1809"/>
      <c r="Q387" s="1809"/>
      <c r="R387" s="1809"/>
      <c r="S387" s="1809"/>
      <c r="T387" s="1809"/>
      <c r="U387" s="1809"/>
      <c r="V387" s="1809"/>
      <c r="W387" s="1809"/>
      <c r="X387" s="1809"/>
      <c r="Y387" s="1809"/>
      <c r="Z387" s="1809"/>
      <c r="AA387" s="1809"/>
    </row>
    <row r="388" s="2602" customFormat="1" customHeight="1" spans="10:27">
      <c r="J388" s="2604"/>
      <c r="K388" s="1809"/>
      <c r="L388" s="1809"/>
      <c r="M388" s="1809"/>
      <c r="N388" s="1809"/>
      <c r="O388" s="1809"/>
      <c r="P388" s="1809"/>
      <c r="Q388" s="1809"/>
      <c r="R388" s="1809"/>
      <c r="S388" s="1809"/>
      <c r="T388" s="1809"/>
      <c r="U388" s="1809"/>
      <c r="V388" s="1809"/>
      <c r="W388" s="1809"/>
      <c r="X388" s="1809"/>
      <c r="Y388" s="1809"/>
      <c r="Z388" s="1809"/>
      <c r="AA388" s="1809"/>
    </row>
    <row r="389" s="2602" customFormat="1" customHeight="1" spans="10:27">
      <c r="J389" s="2604"/>
      <c r="K389" s="1809"/>
      <c r="L389" s="1809"/>
      <c r="M389" s="1809"/>
      <c r="N389" s="1809"/>
      <c r="O389" s="1809"/>
      <c r="P389" s="1809"/>
      <c r="Q389" s="1809"/>
      <c r="R389" s="1809"/>
      <c r="S389" s="1809"/>
      <c r="T389" s="1809"/>
      <c r="U389" s="1809"/>
      <c r="V389" s="1809"/>
      <c r="W389" s="1809"/>
      <c r="X389" s="1809"/>
      <c r="Y389" s="1809"/>
      <c r="Z389" s="1809"/>
      <c r="AA389" s="1809"/>
    </row>
    <row r="390" s="2602" customFormat="1" customHeight="1" spans="10:27">
      <c r="J390" s="2604"/>
      <c r="K390" s="1809"/>
      <c r="L390" s="1809"/>
      <c r="M390" s="1809"/>
      <c r="N390" s="1809"/>
      <c r="O390" s="1809"/>
      <c r="P390" s="1809"/>
      <c r="Q390" s="1809"/>
      <c r="R390" s="1809"/>
      <c r="S390" s="1809"/>
      <c r="T390" s="1809"/>
      <c r="U390" s="1809"/>
      <c r="V390" s="1809"/>
      <c r="W390" s="1809"/>
      <c r="X390" s="1809"/>
      <c r="Y390" s="1809"/>
      <c r="Z390" s="1809"/>
      <c r="AA390" s="1809"/>
    </row>
    <row r="391" s="2602" customFormat="1" customHeight="1" spans="10:27">
      <c r="J391" s="2604"/>
      <c r="K391" s="1809"/>
      <c r="L391" s="1809"/>
      <c r="M391" s="1809"/>
      <c r="N391" s="1809"/>
      <c r="O391" s="1809"/>
      <c r="P391" s="1809"/>
      <c r="Q391" s="1809"/>
      <c r="R391" s="1809"/>
      <c r="S391" s="1809"/>
      <c r="T391" s="1809"/>
      <c r="U391" s="1809"/>
      <c r="V391" s="1809"/>
      <c r="W391" s="1809"/>
      <c r="X391" s="1809"/>
      <c r="Y391" s="1809"/>
      <c r="Z391" s="1809"/>
      <c r="AA391" s="1809"/>
    </row>
    <row r="392" s="2602" customFormat="1" customHeight="1" spans="10:27">
      <c r="J392" s="2604"/>
      <c r="K392" s="1809"/>
      <c r="L392" s="1809"/>
      <c r="M392" s="1809"/>
      <c r="N392" s="1809"/>
      <c r="O392" s="1809"/>
      <c r="P392" s="1809"/>
      <c r="Q392" s="1809"/>
      <c r="R392" s="1809"/>
      <c r="S392" s="1809"/>
      <c r="T392" s="1809"/>
      <c r="U392" s="1809"/>
      <c r="V392" s="1809"/>
      <c r="W392" s="1809"/>
      <c r="X392" s="1809"/>
      <c r="Y392" s="1809"/>
      <c r="Z392" s="1809"/>
      <c r="AA392" s="1809"/>
    </row>
    <row r="393" s="2602" customFormat="1" customHeight="1" spans="10:27">
      <c r="J393" s="2604"/>
      <c r="K393" s="1809"/>
      <c r="L393" s="1809"/>
      <c r="M393" s="1809"/>
      <c r="N393" s="1809"/>
      <c r="O393" s="1809"/>
      <c r="P393" s="1809"/>
      <c r="Q393" s="1809"/>
      <c r="R393" s="1809"/>
      <c r="S393" s="1809"/>
      <c r="T393" s="1809"/>
      <c r="U393" s="1809"/>
      <c r="V393" s="1809"/>
      <c r="W393" s="1809"/>
      <c r="X393" s="1809"/>
      <c r="Y393" s="1809"/>
      <c r="Z393" s="1809"/>
      <c r="AA393" s="1809"/>
    </row>
    <row r="394" s="2602" customFormat="1" customHeight="1" spans="10:27">
      <c r="J394" s="2604"/>
      <c r="K394" s="1809"/>
      <c r="L394" s="1809"/>
      <c r="M394" s="1809"/>
      <c r="N394" s="1809"/>
      <c r="O394" s="1809"/>
      <c r="P394" s="1809"/>
      <c r="Q394" s="1809"/>
      <c r="R394" s="1809"/>
      <c r="S394" s="1809"/>
      <c r="T394" s="1809"/>
      <c r="U394" s="1809"/>
      <c r="V394" s="1809"/>
      <c r="W394" s="1809"/>
      <c r="X394" s="1809"/>
      <c r="Y394" s="1809"/>
      <c r="Z394" s="1809"/>
      <c r="AA394" s="1809"/>
    </row>
    <row r="395" s="2602" customFormat="1" customHeight="1" spans="10:27">
      <c r="J395" s="2604"/>
      <c r="K395" s="1809"/>
      <c r="L395" s="1809"/>
      <c r="M395" s="1809"/>
      <c r="N395" s="1809"/>
      <c r="O395" s="1809"/>
      <c r="P395" s="1809"/>
      <c r="Q395" s="1809"/>
      <c r="R395" s="1809"/>
      <c r="S395" s="1809"/>
      <c r="T395" s="1809"/>
      <c r="U395" s="1809"/>
      <c r="V395" s="1809"/>
      <c r="W395" s="1809"/>
      <c r="X395" s="1809"/>
      <c r="Y395" s="1809"/>
      <c r="Z395" s="1809"/>
      <c r="AA395" s="1809"/>
    </row>
    <row r="396" s="2602" customFormat="1" customHeight="1" spans="10:27">
      <c r="J396" s="2604"/>
      <c r="K396" s="1809"/>
      <c r="L396" s="1809"/>
      <c r="M396" s="1809"/>
      <c r="N396" s="1809"/>
      <c r="O396" s="1809"/>
      <c r="P396" s="1809"/>
      <c r="Q396" s="1809"/>
      <c r="R396" s="1809"/>
      <c r="S396" s="1809"/>
      <c r="T396" s="1809"/>
      <c r="U396" s="1809"/>
      <c r="V396" s="1809"/>
      <c r="W396" s="1809"/>
      <c r="X396" s="1809"/>
      <c r="Y396" s="1809"/>
      <c r="Z396" s="1809"/>
      <c r="AA396" s="1809"/>
    </row>
    <row r="397" s="2602" customFormat="1" customHeight="1" spans="10:27">
      <c r="J397" s="2604"/>
      <c r="K397" s="1809"/>
      <c r="L397" s="1809"/>
      <c r="M397" s="1809"/>
      <c r="N397" s="1809"/>
      <c r="O397" s="1809"/>
      <c r="P397" s="1809"/>
      <c r="Q397" s="1809"/>
      <c r="R397" s="1809"/>
      <c r="S397" s="1809"/>
      <c r="T397" s="1809"/>
      <c r="U397" s="1809"/>
      <c r="V397" s="1809"/>
      <c r="W397" s="1809"/>
      <c r="X397" s="1809"/>
      <c r="Y397" s="1809"/>
      <c r="Z397" s="1809"/>
      <c r="AA397" s="1809"/>
    </row>
    <row r="398" s="2602" customFormat="1" customHeight="1" spans="10:27">
      <c r="J398" s="2604"/>
      <c r="K398" s="1809"/>
      <c r="L398" s="1809"/>
      <c r="M398" s="1809"/>
      <c r="N398" s="1809"/>
      <c r="O398" s="1809"/>
      <c r="P398" s="1809"/>
      <c r="Q398" s="1809"/>
      <c r="R398" s="1809"/>
      <c r="S398" s="1809"/>
      <c r="T398" s="1809"/>
      <c r="U398" s="1809"/>
      <c r="V398" s="1809"/>
      <c r="W398" s="1809"/>
      <c r="X398" s="1809"/>
      <c r="Y398" s="1809"/>
      <c r="Z398" s="1809"/>
      <c r="AA398" s="1809"/>
    </row>
    <row r="399" s="2602" customFormat="1" customHeight="1" spans="10:27">
      <c r="J399" s="2604"/>
      <c r="K399" s="1809"/>
      <c r="L399" s="1809"/>
      <c r="M399" s="1809"/>
      <c r="N399" s="1809"/>
      <c r="O399" s="1809"/>
      <c r="P399" s="1809"/>
      <c r="Q399" s="1809"/>
      <c r="R399" s="1809"/>
      <c r="S399" s="1809"/>
      <c r="T399" s="1809"/>
      <c r="U399" s="1809"/>
      <c r="V399" s="1809"/>
      <c r="W399" s="1809"/>
      <c r="X399" s="1809"/>
      <c r="Y399" s="1809"/>
      <c r="Z399" s="1809"/>
      <c r="AA399" s="1809"/>
    </row>
    <row r="400" s="2602" customFormat="1" customHeight="1" spans="10:27">
      <c r="J400" s="2604"/>
      <c r="K400" s="1809"/>
      <c r="L400" s="1809"/>
      <c r="M400" s="1809"/>
      <c r="N400" s="1809"/>
      <c r="O400" s="1809"/>
      <c r="P400" s="1809"/>
      <c r="Q400" s="1809"/>
      <c r="R400" s="1809"/>
      <c r="S400" s="1809"/>
      <c r="T400" s="1809"/>
      <c r="U400" s="1809"/>
      <c r="V400" s="1809"/>
      <c r="W400" s="1809"/>
      <c r="X400" s="1809"/>
      <c r="Y400" s="1809"/>
      <c r="Z400" s="1809"/>
      <c r="AA400" s="1809"/>
    </row>
    <row r="401" s="2602" customFormat="1" customHeight="1" spans="10:27">
      <c r="J401" s="2604"/>
      <c r="K401" s="1809"/>
      <c r="L401" s="1809"/>
      <c r="M401" s="1809"/>
      <c r="N401" s="1809"/>
      <c r="O401" s="1809"/>
      <c r="P401" s="1809"/>
      <c r="Q401" s="1809"/>
      <c r="R401" s="1809"/>
      <c r="S401" s="1809"/>
      <c r="T401" s="1809"/>
      <c r="U401" s="1809"/>
      <c r="V401" s="1809"/>
      <c r="W401" s="1809"/>
      <c r="X401" s="1809"/>
      <c r="Y401" s="1809"/>
      <c r="Z401" s="1809"/>
      <c r="AA401" s="1809"/>
    </row>
    <row r="402" s="2602" customFormat="1" customHeight="1" spans="10:27">
      <c r="J402" s="2604"/>
      <c r="K402" s="1809"/>
      <c r="L402" s="1809"/>
      <c r="M402" s="1809"/>
      <c r="N402" s="1809"/>
      <c r="O402" s="1809"/>
      <c r="P402" s="1809"/>
      <c r="Q402" s="1809"/>
      <c r="R402" s="1809"/>
      <c r="S402" s="1809"/>
      <c r="T402" s="1809"/>
      <c r="U402" s="1809"/>
      <c r="V402" s="1809"/>
      <c r="W402" s="1809"/>
      <c r="X402" s="1809"/>
      <c r="Y402" s="1809"/>
      <c r="Z402" s="1809"/>
      <c r="AA402" s="1809"/>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10:27">
      <c r="J516" s="2604"/>
      <c r="K516" s="1809"/>
      <c r="L516" s="1809"/>
      <c r="M516" s="1809"/>
      <c r="N516" s="1809"/>
      <c r="O516" s="1809"/>
      <c r="P516" s="1809"/>
      <c r="Q516" s="1809"/>
      <c r="R516" s="1809"/>
      <c r="S516" s="1809"/>
      <c r="T516" s="1809"/>
      <c r="U516" s="1809"/>
      <c r="V516" s="1809"/>
      <c r="W516" s="1809"/>
      <c r="X516" s="1809"/>
      <c r="Y516" s="1809"/>
      <c r="Z516" s="1809"/>
      <c r="AA516" s="1809"/>
    </row>
    <row r="517" s="2602" customFormat="1" customHeight="1" spans="10:27">
      <c r="J517" s="2604"/>
      <c r="K517" s="1809"/>
      <c r="L517" s="1809"/>
      <c r="M517" s="1809"/>
      <c r="N517" s="1809"/>
      <c r="O517" s="1809"/>
      <c r="P517" s="1809"/>
      <c r="Q517" s="1809"/>
      <c r="R517" s="1809"/>
      <c r="S517" s="1809"/>
      <c r="T517" s="1809"/>
      <c r="U517" s="1809"/>
      <c r="V517" s="1809"/>
      <c r="W517" s="1809"/>
      <c r="X517" s="1809"/>
      <c r="Y517" s="1809"/>
      <c r="Z517" s="1809"/>
      <c r="AA517" s="1809"/>
    </row>
    <row r="518" s="2602" customFormat="1" customHeight="1" spans="10:27">
      <c r="J518" s="2604"/>
      <c r="K518" s="1809"/>
      <c r="L518" s="1809"/>
      <c r="M518" s="1809"/>
      <c r="N518" s="1809"/>
      <c r="O518" s="1809"/>
      <c r="P518" s="1809"/>
      <c r="Q518" s="1809"/>
      <c r="R518" s="1809"/>
      <c r="S518" s="1809"/>
      <c r="T518" s="1809"/>
      <c r="U518" s="1809"/>
      <c r="V518" s="1809"/>
      <c r="W518" s="1809"/>
      <c r="X518" s="1809"/>
      <c r="Y518" s="1809"/>
      <c r="Z518" s="1809"/>
      <c r="AA518" s="1809"/>
    </row>
    <row r="519" s="2602" customFormat="1" customHeight="1" spans="10:27">
      <c r="J519" s="2604"/>
      <c r="K519" s="1809"/>
      <c r="L519" s="1809"/>
      <c r="M519" s="1809"/>
      <c r="N519" s="1809"/>
      <c r="O519" s="1809"/>
      <c r="P519" s="1809"/>
      <c r="Q519" s="1809"/>
      <c r="R519" s="1809"/>
      <c r="S519" s="1809"/>
      <c r="T519" s="1809"/>
      <c r="U519" s="1809"/>
      <c r="V519" s="1809"/>
      <c r="W519" s="1809"/>
      <c r="X519" s="1809"/>
      <c r="Y519" s="1809"/>
      <c r="Z519" s="1809"/>
      <c r="AA519" s="1809"/>
    </row>
    <row r="520" s="2602" customFormat="1" customHeight="1" spans="6:27">
      <c r="F520" s="2603"/>
      <c r="G520" s="2603"/>
      <c r="H520" s="2603"/>
      <c r="I520" s="2603"/>
      <c r="J520" s="2604"/>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57:H58">
      <formula1>"个人住宅,正常"</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7962962962963" defaultRowHeight="13.2"/>
  <cols>
    <col min="1" max="1" width="9.37962962962963" style="2526" customWidth="1"/>
    <col min="2" max="2" width="29.25" style="2527" customWidth="1"/>
    <col min="3" max="3" width="12.1296296296296" style="2527" customWidth="1"/>
    <col min="4" max="4" width="12.25" style="2528" customWidth="1"/>
    <col min="5" max="5" width="11.25" style="2528" customWidth="1"/>
    <col min="6" max="6" width="9.5" style="2527" customWidth="1"/>
    <col min="7" max="7" width="31.8796296296296" style="2527" customWidth="1"/>
    <col min="8" max="123" width="9" style="2525" customWidth="1"/>
    <col min="124" max="254" width="9" style="2527" customWidth="1"/>
    <col min="255" max="16384" width="8.37962962962963" style="2527"/>
  </cols>
  <sheetData>
    <row r="1" s="2521" customFormat="1" ht="20.4" spans="1:123">
      <c r="A1" s="2434" t="s">
        <v>871</v>
      </c>
      <c r="B1" s="2436"/>
      <c r="C1" s="2529"/>
      <c r="D1" s="2529"/>
      <c r="E1" s="2529"/>
      <c r="F1" s="2529"/>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1" customFormat="1" ht="18" customHeight="1" spans="1:123">
      <c r="A2" s="741" t="s">
        <v>872</v>
      </c>
      <c r="B2" s="2530">
        <f ca="1">IF(D2="——",IF(C2="元",C52,ROUND(C52/10000,0)),IF(C2="元",C52,ROUND(C52/10000,0))-E2)</f>
        <v>1456</v>
      </c>
      <c r="C2" s="1446" t="str">
        <f>'数据-取费表'!B3</f>
        <v>万元</v>
      </c>
      <c r="D2" s="2531" t="s">
        <v>121</v>
      </c>
      <c r="E2" s="2532" t="e">
        <f ca="1">SUMIF(INDIRECT("'"&amp;G2&amp;"'"&amp;"!A:A"),"承租人权益价值",INDIRECT("'"&amp;G2&amp;"'"&amp;"!c:c"))</f>
        <v>#REF!</v>
      </c>
      <c r="F2" s="2533" t="str">
        <f>C2</f>
        <v>万元</v>
      </c>
      <c r="G2" s="2534"/>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1" customFormat="1" ht="18" customHeight="1" spans="1:123">
      <c r="A3" s="746" t="s">
        <v>873</v>
      </c>
      <c r="B3" s="2439">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2" customFormat="1" ht="15.6" spans="1:123">
      <c r="A4" s="2535" t="s">
        <v>875</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876</v>
      </c>
      <c r="B5" s="2540" t="s">
        <v>877</v>
      </c>
      <c r="C5" s="2541">
        <f>C6+C7+C8</f>
        <v>9047179.32</v>
      </c>
      <c r="D5" s="2541" t="s">
        <v>878</v>
      </c>
      <c r="E5" s="2542" t="s">
        <v>879</v>
      </c>
      <c r="F5" s="2542" t="s">
        <v>727</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880</v>
      </c>
      <c r="B6" s="2545" t="s">
        <v>881</v>
      </c>
      <c r="C6" s="2546">
        <f>[5]基准地价修正!$C$33*[5]基准地价修正!$D$33</f>
        <v>8654396.32</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882</v>
      </c>
      <c r="B7" s="2545" t="s">
        <v>883</v>
      </c>
      <c r="C7" s="2550">
        <f>ROUND(C6*F7,0)</f>
        <v>263959</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884</v>
      </c>
      <c r="B8" s="2545" t="s">
        <v>885</v>
      </c>
      <c r="C8" s="2550">
        <f>IF(G8="已包含在土地购买价格中","0",'数据-取费表'!E13)</f>
        <v>128824</v>
      </c>
      <c r="D8" s="2552"/>
      <c r="E8" s="2550"/>
      <c r="F8" s="2551"/>
      <c r="G8" s="2553" t="s">
        <v>886</v>
      </c>
    </row>
    <row r="9" s="2523" customFormat="1" ht="13.5" customHeight="1" spans="1:123">
      <c r="A9" s="2554" t="s">
        <v>887</v>
      </c>
      <c r="B9" s="2555" t="s">
        <v>888</v>
      </c>
      <c r="C9" s="2556">
        <f>ROUND(D9*E9,0)</f>
        <v>0</v>
      </c>
      <c r="D9" s="2557">
        <f>IF('数据-取费表'!B10="住宅",IF(B1="仅计算典型户型",'数据-取费表'!E5,'数据-取费表'!B5),0)</f>
        <v>0</v>
      </c>
      <c r="E9" s="2556">
        <f>'数据-取费表'!E11</f>
        <v>160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889</v>
      </c>
      <c r="B10" s="2555" t="s">
        <v>890</v>
      </c>
      <c r="C10" s="2556">
        <f>ROUND(D10*E10,0)</f>
        <v>128824</v>
      </c>
      <c r="D10" s="2557">
        <f>IF('数据-取费表'!B10&lt;&gt;"住宅",IF(B1="仅计算典型户型",'数据-取费表'!E5,'数据-取费表'!B5),0)</f>
        <v>644.12</v>
      </c>
      <c r="E10" s="2556">
        <f>'数据-取费表'!E12</f>
        <v>200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891</v>
      </c>
      <c r="B11" s="2545" t="s">
        <v>892</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893</v>
      </c>
      <c r="B12" s="2545" t="s">
        <v>764</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894</v>
      </c>
      <c r="B13" s="2545" t="s">
        <v>895</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896</v>
      </c>
      <c r="B14" s="2545" t="s">
        <v>885</v>
      </c>
      <c r="C14" s="2541"/>
      <c r="D14" s="2550"/>
      <c r="E14" s="2548"/>
      <c r="F14" s="2548"/>
      <c r="G14" s="2549" t="s">
        <v>897</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898</v>
      </c>
      <c r="B15" s="2545" t="s">
        <v>899</v>
      </c>
      <c r="C15" s="2550"/>
      <c r="D15" s="2550"/>
      <c r="E15" s="2548"/>
      <c r="F15" s="2548"/>
      <c r="G15" s="2549" t="s">
        <v>900</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901</v>
      </c>
      <c r="B16" s="2545" t="s">
        <v>885</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902</v>
      </c>
      <c r="B17" s="2545" t="s">
        <v>903</v>
      </c>
      <c r="C17" s="2560"/>
      <c r="D17" s="2560"/>
      <c r="E17" s="2560"/>
      <c r="F17" s="2560"/>
      <c r="G17" s="2549" t="s">
        <v>900</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904</v>
      </c>
      <c r="B18" s="2545" t="s">
        <v>905</v>
      </c>
      <c r="C18" s="2550">
        <v>0</v>
      </c>
      <c r="D18" s="2550"/>
      <c r="E18" s="2548"/>
      <c r="F18" s="2551">
        <v>0.0305</v>
      </c>
      <c r="G18" s="2549" t="s">
        <v>906</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907</v>
      </c>
      <c r="B19" s="2540" t="s">
        <v>908</v>
      </c>
      <c r="C19" s="2541" t="str">
        <f>IF(G19="已包含在土地取得成本中","0",ROUND(D19*E19,0))</f>
        <v>0</v>
      </c>
      <c r="D19" s="2561">
        <f>IF(B1="仅计算典型户型",'数据-取费表'!E5,'数据-取费表'!B5)</f>
        <v>644.12</v>
      </c>
      <c r="E19" s="2541">
        <f>'数据-取费表'!E15</f>
        <v>200</v>
      </c>
      <c r="F19" s="2562"/>
      <c r="G19" s="2553" t="s">
        <v>909</v>
      </c>
    </row>
    <row r="20" s="2523" customFormat="1" ht="13.5" customHeight="1" spans="1:123">
      <c r="A20" s="2539" t="s">
        <v>910</v>
      </c>
      <c r="B20" s="2540" t="s">
        <v>911</v>
      </c>
      <c r="C20" s="2563">
        <f>ROUND((C5+C19)*F20,0)</f>
        <v>180944</v>
      </c>
      <c r="D20" s="2563"/>
      <c r="E20" s="2563"/>
      <c r="F20" s="2564">
        <f>'数据-取费表'!E25</f>
        <v>0.02</v>
      </c>
      <c r="G20" s="2565" t="s">
        <v>912</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913</v>
      </c>
      <c r="B21" s="2540" t="s">
        <v>914</v>
      </c>
      <c r="C21" s="2566">
        <f>F21</f>
        <v>0.02</v>
      </c>
      <c r="D21" s="2567" t="s">
        <v>915</v>
      </c>
      <c r="E21" s="2563"/>
      <c r="F21" s="2564">
        <f>'数据-取费表'!E26</f>
        <v>0.02</v>
      </c>
      <c r="G21" s="2565" t="s">
        <v>916</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917</v>
      </c>
      <c r="B22" s="2540" t="s">
        <v>918</v>
      </c>
      <c r="C22" s="2568">
        <f ca="1">ROUND(SUM(C23:C25),0)</f>
        <v>774006</v>
      </c>
      <c r="D22" s="2566">
        <f ca="1">C26</f>
        <v>0.0008</v>
      </c>
      <c r="E22" s="2567" t="s">
        <v>915</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880</v>
      </c>
      <c r="B23" s="2545" t="s">
        <v>919</v>
      </c>
      <c r="C23" s="2569">
        <f ca="1">ROUND(IF('数据-取费表'!B24&lt;=1,C5*F22*'数据-取费表'!B25,C5*(POWER((1+F22),'数据-取费表'!B25)-1)),0)</f>
        <v>766497</v>
      </c>
      <c r="D23" s="2285"/>
      <c r="E23" s="2285"/>
      <c r="F23" s="2570"/>
      <c r="G23" s="2571" t="s">
        <v>920</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882</v>
      </c>
      <c r="B24" s="2545" t="s">
        <v>921</v>
      </c>
      <c r="C24" s="2569">
        <f ca="1">ROUND(IF('数据-取费表'!B24&lt;=1,C19*F22*('数据-取费表'!B21/2+'数据-取费表'!B23),C19*(POWER((1+F22),('数据-取费表'!B21/2+'数据-取费表'!B23))-1)),0)</f>
        <v>0</v>
      </c>
      <c r="D24" s="2285"/>
      <c r="E24" s="2285"/>
      <c r="F24" s="2570"/>
      <c r="G24" s="2571" t="s">
        <v>922</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884</v>
      </c>
      <c r="B25" s="2545" t="s">
        <v>923</v>
      </c>
      <c r="C25" s="2569">
        <f ca="1">ROUND(IF('数据-取费表'!B24&lt;=1,C20*F22*'数据-取费表'!B25/2,C20*(POWER((1+F22),'数据-取费表'!B25/2)-1)),0)</f>
        <v>7509</v>
      </c>
      <c r="D25" s="2285"/>
      <c r="E25" s="2572"/>
      <c r="F25" s="2570"/>
      <c r="G25" s="2573" t="s">
        <v>924</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925</v>
      </c>
      <c r="B26" s="2545" t="s">
        <v>926</v>
      </c>
      <c r="C26" s="2285">
        <f ca="1">ROUND(IF('数据-取费表'!B24&lt;=1,F21*F22*'数据-取费表'!B25/2,F21*(POWER((1+F22),'数据-取费表'!B25/2)-1)),4)</f>
        <v>0.0008</v>
      </c>
      <c r="D26" s="2285"/>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927</v>
      </c>
      <c r="B27" s="2576" t="s">
        <v>928</v>
      </c>
      <c r="C27" s="2541">
        <f>C28</f>
        <v>1384218</v>
      </c>
      <c r="D27" s="2566">
        <f>C29</f>
        <v>0.003</v>
      </c>
      <c r="E27" s="2567" t="s">
        <v>915</v>
      </c>
      <c r="F27" s="2562">
        <f>'数据-取费表'!E28</f>
        <v>0.15</v>
      </c>
      <c r="G27" s="2577" t="s">
        <v>929</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880</v>
      </c>
      <c r="B28" s="2578" t="s">
        <v>930</v>
      </c>
      <c r="C28" s="2550">
        <f>ROUND((C5+C19+C20)*F27*'数据-取费表'!B23/'数据-取费表'!B22,0)</f>
        <v>1384218</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882</v>
      </c>
      <c r="B29" s="2578" t="s">
        <v>931</v>
      </c>
      <c r="C29" s="2285">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932</v>
      </c>
      <c r="B30" s="2540" t="s">
        <v>933</v>
      </c>
      <c r="C30" s="2566">
        <f>ROUND(F30/(1+'数据-取费表'!F30),4)</f>
        <v>0.0524</v>
      </c>
      <c r="D30" s="2567" t="s">
        <v>915</v>
      </c>
      <c r="E30" s="2572"/>
      <c r="F30" s="2564">
        <f>'数据-取费表'!E29</f>
        <v>0.055</v>
      </c>
      <c r="G30" s="2565" t="s">
        <v>934</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935</v>
      </c>
      <c r="C31" s="2541">
        <f ca="1">ROUND((C5+C19+C20+C22+C27)/(1-C21-D22-D27-C30),0)</f>
        <v>12325555</v>
      </c>
      <c r="D31" s="2561"/>
      <c r="E31" s="2541"/>
      <c r="F31" s="2579"/>
      <c r="G31" s="2565" t="s">
        <v>936</v>
      </c>
    </row>
    <row r="32" s="2522" customFormat="1" ht="15.6" spans="1:123">
      <c r="A32" s="2580" t="s">
        <v>937</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876</v>
      </c>
      <c r="B33" s="2540" t="s">
        <v>938</v>
      </c>
      <c r="C33" s="2568">
        <f>SUM(C34:C38)</f>
        <v>2148140</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880</v>
      </c>
      <c r="B34" s="2545" t="s">
        <v>939</v>
      </c>
      <c r="C34" s="2550">
        <f>IF(B1="仅计算典型户型",'数据-取费表'!F18,'数据-取费表'!E18)</f>
        <v>1932360</v>
      </c>
      <c r="D34" s="2547"/>
      <c r="E34" s="2550"/>
      <c r="F34" s="2584" t="str">
        <f>IF('数据-取费表'!B26=0,"",'数据-取费表'!E20)</f>
        <v/>
      </c>
      <c r="G34" s="2549"/>
    </row>
    <row r="35" ht="13.5" customHeight="1" spans="1:7">
      <c r="A35" s="2544" t="s">
        <v>882</v>
      </c>
      <c r="B35" s="2545" t="s">
        <v>940</v>
      </c>
      <c r="C35" s="2550">
        <f>ROUND(C34*F35,0)</f>
        <v>57971</v>
      </c>
      <c r="D35" s="2550"/>
      <c r="E35" s="2550"/>
      <c r="F35" s="2585">
        <f>'数据-取费表'!E21</f>
        <v>0.03</v>
      </c>
      <c r="G35" s="2549" t="s">
        <v>941</v>
      </c>
    </row>
    <row r="36" ht="24" spans="1:7">
      <c r="A36" s="2544" t="s">
        <v>884</v>
      </c>
      <c r="B36" s="2545" t="s">
        <v>942</v>
      </c>
      <c r="C36" s="2550">
        <f>ROUND(IF('数据-取费表'!B10="住宅",C34*F36,0),0)</f>
        <v>0</v>
      </c>
      <c r="D36" s="2550"/>
      <c r="E36" s="2550"/>
      <c r="F36" s="2585">
        <f>'数据-取费表'!E22</f>
        <v>0</v>
      </c>
      <c r="G36" s="2586" t="s">
        <v>943</v>
      </c>
    </row>
    <row r="37" s="2525" customFormat="1" ht="13.5" customHeight="1" spans="1:7">
      <c r="A37" s="2544" t="s">
        <v>925</v>
      </c>
      <c r="B37" s="2545" t="s">
        <v>944</v>
      </c>
      <c r="C37" s="2550">
        <f>ROUND(E37*D37,0)</f>
        <v>128824</v>
      </c>
      <c r="D37" s="2547">
        <f>IF(B1="仅计算典型户型",'数据-取费表'!E5,'数据-取费表'!B5)</f>
        <v>644.12</v>
      </c>
      <c r="E37" s="2550">
        <f>'数据-取费表'!E23</f>
        <v>200</v>
      </c>
      <c r="F37" s="2585"/>
      <c r="G37" s="2587" t="s">
        <v>945</v>
      </c>
    </row>
    <row r="38" ht="13.5" customHeight="1" spans="1:7">
      <c r="A38" s="2544" t="s">
        <v>946</v>
      </c>
      <c r="B38" s="2545" t="s">
        <v>764</v>
      </c>
      <c r="C38" s="2550">
        <f>ROUND(C34*F38,0)</f>
        <v>28985</v>
      </c>
      <c r="D38" s="2550"/>
      <c r="E38" s="2550"/>
      <c r="F38" s="2585">
        <f>'数据-取费表'!E24</f>
        <v>0.015</v>
      </c>
      <c r="G38" s="2549" t="s">
        <v>941</v>
      </c>
    </row>
    <row r="39" s="2523" customFormat="1" ht="13.5" customHeight="1" spans="1:123">
      <c r="A39" s="2539" t="s">
        <v>907</v>
      </c>
      <c r="B39" s="2540" t="s">
        <v>911</v>
      </c>
      <c r="C39" s="2563">
        <f>ROUND(C33*F20,0)</f>
        <v>42963</v>
      </c>
      <c r="D39" s="2563"/>
      <c r="E39" s="2563"/>
      <c r="F39" s="2588">
        <f>F20</f>
        <v>0.02</v>
      </c>
      <c r="G39" s="2565" t="s">
        <v>947</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910</v>
      </c>
      <c r="B40" s="2540" t="s">
        <v>914</v>
      </c>
      <c r="C40" s="2589">
        <f>F21</f>
        <v>0.02</v>
      </c>
      <c r="D40" s="2567" t="s">
        <v>948</v>
      </c>
      <c r="E40" s="2563"/>
      <c r="F40" s="2588">
        <f>F21</f>
        <v>0.02</v>
      </c>
      <c r="G40" s="2565" t="s">
        <v>949</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913</v>
      </c>
      <c r="B41" s="2540" t="s">
        <v>918</v>
      </c>
      <c r="C41" s="2563">
        <f ca="1">ROUND(SUM(C42:C43),0)</f>
        <v>90931</v>
      </c>
      <c r="D41" s="2566">
        <f ca="1">C44</f>
        <v>0.0008</v>
      </c>
      <c r="E41" s="2567" t="s">
        <v>948</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880</v>
      </c>
      <c r="B42" s="2545" t="s">
        <v>919</v>
      </c>
      <c r="C42" s="2285">
        <f ca="1">ROUND(IF('数据-取费表'!B24&lt;=1,C33*F22*'数据-取费表'!B23/2,C33*(POWER((1+F22),'数据-取费表'!B23/2)-1)),0)</f>
        <v>89148</v>
      </c>
      <c r="D42" s="2285"/>
      <c r="E42" s="2285"/>
      <c r="F42" s="2570"/>
      <c r="G42" s="2590" t="s">
        <v>950</v>
      </c>
    </row>
    <row r="43" ht="13.5" customHeight="1" spans="1:7">
      <c r="A43" s="2544" t="s">
        <v>882</v>
      </c>
      <c r="B43" s="2545" t="s">
        <v>921</v>
      </c>
      <c r="C43" s="2285">
        <f ca="1">ROUND(IF('数据-取费表'!B24&lt;=1,C39*F22*'数据-取费表'!B23/2,C39*(POWER((1+F22),'数据-取费表'!B23/2)-1)),0)</f>
        <v>1783</v>
      </c>
      <c r="D43" s="2285"/>
      <c r="E43" s="2285"/>
      <c r="F43" s="2570"/>
      <c r="G43" s="2591"/>
    </row>
    <row r="44" ht="13.5" customHeight="1" spans="1:7">
      <c r="A44" s="2544" t="s">
        <v>884</v>
      </c>
      <c r="B44" s="2545" t="s">
        <v>923</v>
      </c>
      <c r="C44" s="2285">
        <f ca="1">ROUND(IF('数据-取费表'!B24&lt;=1,C40*F22*'数据-取费表'!B23/2,C40*(POWER((1+F22),'数据-取费表'!B23/2)-1)),4)</f>
        <v>0.0008</v>
      </c>
      <c r="D44" s="2285"/>
      <c r="E44" s="2285"/>
      <c r="F44" s="2570"/>
      <c r="G44" s="655"/>
    </row>
    <row r="45" s="2523" customFormat="1" ht="13.5" customHeight="1" spans="1:123">
      <c r="A45" s="2539" t="s">
        <v>917</v>
      </c>
      <c r="B45" s="2576" t="s">
        <v>928</v>
      </c>
      <c r="C45" s="2541">
        <f>C46</f>
        <v>328665</v>
      </c>
      <c r="D45" s="2566">
        <f>C47</f>
        <v>0.003</v>
      </c>
      <c r="E45" s="2567" t="s">
        <v>948</v>
      </c>
      <c r="F45" s="2592">
        <f>F27</f>
        <v>0.15</v>
      </c>
      <c r="G45" s="2577" t="s">
        <v>951</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880</v>
      </c>
      <c r="B46" s="2578" t="s">
        <v>952</v>
      </c>
      <c r="C46" s="2550">
        <f>ROUND((C33+C39)*F27,0)</f>
        <v>328665</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882</v>
      </c>
      <c r="B47" s="2578" t="s">
        <v>953</v>
      </c>
      <c r="C47" s="2285">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927</v>
      </c>
      <c r="B48" s="2540" t="s">
        <v>933</v>
      </c>
      <c r="C48" s="2589">
        <f>ROUND(F30/(1+'数据-取费表'!F30),4)</f>
        <v>0.0524</v>
      </c>
      <c r="D48" s="2567" t="s">
        <v>948</v>
      </c>
      <c r="E48" s="2563"/>
      <c r="F48" s="2588">
        <f>F30</f>
        <v>0.055</v>
      </c>
      <c r="G48" s="2565" t="s">
        <v>954</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932</v>
      </c>
      <c r="B49" s="2540" t="s">
        <v>955</v>
      </c>
      <c r="C49" s="2563">
        <f ca="1">ROUND((C33+C39+C41+C45)/(1-C40-D41-D45-C48),0)</f>
        <v>2826044</v>
      </c>
      <c r="D49" s="2563"/>
      <c r="E49" s="2563"/>
      <c r="F49" s="2594"/>
      <c r="G49" s="2565" t="s">
        <v>956</v>
      </c>
    </row>
    <row r="50" s="2525" customFormat="1" ht="24" spans="1:7">
      <c r="A50" s="2575" t="s">
        <v>957</v>
      </c>
      <c r="B50" s="2540" t="s">
        <v>958</v>
      </c>
      <c r="C50" s="2563"/>
      <c r="D50" s="2563"/>
      <c r="E50" s="2563"/>
      <c r="F50" s="2594">
        <f>IF('数据-取费表'!B26=0,'数据-取费表'!E20,1)</f>
        <v>0.79</v>
      </c>
      <c r="G50" s="2577" t="s">
        <v>959</v>
      </c>
    </row>
    <row r="51" ht="16.5" customHeight="1" spans="1:7">
      <c r="A51" s="2575" t="s">
        <v>960</v>
      </c>
      <c r="B51" s="2540" t="s">
        <v>961</v>
      </c>
      <c r="C51" s="2563">
        <f ca="1">ROUND(C49*F50,0)</f>
        <v>2232575</v>
      </c>
      <c r="D51" s="2563"/>
      <c r="E51" s="2563"/>
      <c r="F51" s="2594"/>
      <c r="G51" s="2565" t="s">
        <v>962</v>
      </c>
    </row>
    <row r="52" s="2522" customFormat="1" ht="16.35" spans="1:123">
      <c r="A52" s="2595" t="s">
        <v>963</v>
      </c>
      <c r="B52" s="2596"/>
      <c r="C52" s="2597">
        <f ca="1">C31+C51</f>
        <v>14558130</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1" customWidth="1"/>
    <col min="2" max="2" width="25.75" style="2432" customWidth="1"/>
    <col min="3" max="3" width="10.3796296296296" style="2433" customWidth="1"/>
    <col min="4" max="4" width="9.87962962962963" style="2432" customWidth="1"/>
    <col min="5" max="5" width="9.5" style="2431" customWidth="1"/>
    <col min="6" max="6" width="10.1296296296296"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962962962963" style="2432"/>
  </cols>
  <sheetData>
    <row r="1" s="2420" customFormat="1" ht="20.4" spans="1:11">
      <c r="A1" s="2434" t="s">
        <v>967</v>
      </c>
      <c r="B1" s="2435"/>
      <c r="C1" s="2436" t="s">
        <v>968</v>
      </c>
      <c r="D1" s="2437"/>
      <c r="E1" s="2438"/>
      <c r="F1" s="2438"/>
      <c r="G1" s="2438"/>
      <c r="H1" s="2438"/>
      <c r="I1" s="2438"/>
      <c r="J1" s="2438"/>
      <c r="K1" s="2438"/>
    </row>
    <row r="2" s="2420" customFormat="1" ht="18" customHeight="1" spans="1:11">
      <c r="A2" s="741" t="s">
        <v>872</v>
      </c>
      <c r="B2" s="2439">
        <f ca="1">IF(C2="元",C32,ROUND(C32/10000,0))</f>
        <v>1593</v>
      </c>
      <c r="C2" s="2440" t="str">
        <f>'数据-取费表'!B3</f>
        <v>万元</v>
      </c>
      <c r="D2" s="2438"/>
      <c r="E2" s="2438"/>
      <c r="F2" s="2438"/>
      <c r="G2" s="2438"/>
      <c r="H2" s="2438"/>
      <c r="I2" s="2438"/>
      <c r="J2" s="2438"/>
      <c r="K2" s="2438"/>
    </row>
    <row r="3" s="2420" customFormat="1" ht="18" customHeight="1" spans="1:11">
      <c r="A3" s="746" t="s">
        <v>873</v>
      </c>
      <c r="B3" s="2439">
        <f ca="1">ROUND(C32/IF(C1="仅计算典型户型",'数据-取费表'!E5,'数据-取费表'!B5),0)</f>
        <v>24735</v>
      </c>
      <c r="C3" s="2440" t="s">
        <v>969</v>
      </c>
      <c r="D3" s="2438"/>
      <c r="E3" s="2438"/>
      <c r="F3" s="2438"/>
      <c r="G3" s="2438"/>
      <c r="H3" s="2438"/>
      <c r="I3" s="2438"/>
      <c r="J3" s="2438"/>
      <c r="K3" s="2438"/>
    </row>
    <row r="4" s="2421" customFormat="1" ht="16.5" customHeight="1" spans="1:33">
      <c r="A4" s="2441" t="s">
        <v>970</v>
      </c>
      <c r="B4" s="2442"/>
      <c r="C4" s="2443">
        <f>SUM(C8:K8)</f>
        <v>22544200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971</v>
      </c>
      <c r="B5" s="2445" t="s">
        <v>972</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973</v>
      </c>
      <c r="B6" s="2448" t="s">
        <v>817</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974</v>
      </c>
      <c r="B7" s="2448" t="s">
        <v>359</v>
      </c>
      <c r="C7" s="2451">
        <f>IF(C1="仅计算典型户型",'数据-取费表'!E5,'数据-取费表'!B5)</f>
        <v>644.12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975</v>
      </c>
      <c r="B8" s="2448" t="s">
        <v>976</v>
      </c>
      <c r="C8" s="2453">
        <f>C6*C7</f>
        <v>22544200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977</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971</v>
      </c>
      <c r="B10" s="2456" t="s">
        <v>972</v>
      </c>
      <c r="C10" s="2457" t="s">
        <v>978</v>
      </c>
      <c r="D10" s="2458" t="s">
        <v>979</v>
      </c>
      <c r="E10" s="2458" t="s">
        <v>980</v>
      </c>
      <c r="F10" s="2458" t="s">
        <v>981</v>
      </c>
      <c r="G10" s="2456"/>
      <c r="H10" s="2459"/>
      <c r="I10" s="2459"/>
      <c r="J10" s="2459"/>
      <c r="K10" s="2514"/>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5" customFormat="1" ht="13.5" customHeight="1" spans="1:33">
      <c r="A11" s="2460" t="s">
        <v>982</v>
      </c>
      <c r="B11" s="2461" t="s">
        <v>983</v>
      </c>
      <c r="C11" s="2462">
        <f>IF(C1="仅计算典型户型",'数据-取费表'!F18,'数据-取费表'!E18)</f>
        <v>1932360</v>
      </c>
      <c r="D11" s="2463"/>
      <c r="E11" s="1815"/>
      <c r="F11" s="2464">
        <f>1-'数据-取费表'!E20</f>
        <v>0.21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984</v>
      </c>
      <c r="B12" s="2461" t="s">
        <v>985</v>
      </c>
      <c r="C12" s="1860">
        <f>ROUND(C11*F12,0)</f>
        <v>57971</v>
      </c>
      <c r="D12" s="2463"/>
      <c r="E12" s="1815"/>
      <c r="F12" s="2465">
        <f>'数据-取费表'!E21</f>
        <v>0.03</v>
      </c>
      <c r="G12" s="2456" t="s">
        <v>986</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987</v>
      </c>
      <c r="B13" s="2461" t="s">
        <v>988</v>
      </c>
      <c r="C13" s="1860">
        <f>ROUND(IF('数据-取费表'!B10="住宅",C11*F13,0),0)</f>
        <v>0</v>
      </c>
      <c r="D13" s="2463"/>
      <c r="E13" s="1815"/>
      <c r="F13" s="2465">
        <f>'数据-取费表'!E22</f>
        <v>0</v>
      </c>
      <c r="G13" s="2456" t="s">
        <v>989</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990</v>
      </c>
      <c r="B14" s="2461" t="s">
        <v>991</v>
      </c>
      <c r="C14" s="1860">
        <f>ROUND(D14*E14*F11,0)</f>
        <v>27053</v>
      </c>
      <c r="D14" s="2463">
        <f>IF(C1="仅计算典型户型",'数据-取费表'!E5,'数据-取费表'!B5)</f>
        <v>644.12</v>
      </c>
      <c r="E14" s="1860">
        <f>'数据-取费表'!E23</f>
        <v>200</v>
      </c>
      <c r="F14" s="2465"/>
      <c r="G14" s="2456" t="s">
        <v>992</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993</v>
      </c>
      <c r="B15" s="2461" t="s">
        <v>994</v>
      </c>
      <c r="C15" s="2466">
        <f>ROUND(C11*F15,0)</f>
        <v>28985</v>
      </c>
      <c r="D15" s="2467"/>
      <c r="E15" s="2466"/>
      <c r="F15" s="2468">
        <f>'数据-取费表'!E24</f>
        <v>0.015</v>
      </c>
      <c r="G15" s="2448" t="s">
        <v>995</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996</v>
      </c>
      <c r="B16" s="2461" t="s">
        <v>997</v>
      </c>
      <c r="C16" s="2462">
        <f>SUM(C11:C15)</f>
        <v>2046369</v>
      </c>
      <c r="D16" s="2463"/>
      <c r="E16" s="1860"/>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998</v>
      </c>
      <c r="B17" s="2461" t="s">
        <v>999</v>
      </c>
      <c r="C17" s="1860">
        <f>ROUND(D17*E17,0)</f>
        <v>0</v>
      </c>
      <c r="D17" s="2463">
        <f>IF(C1="仅计算典型户型",'数据-取费表'!E5,'数据-取费表'!B5)</f>
        <v>644.12</v>
      </c>
      <c r="E17" s="1860">
        <f>'数据-取费表'!E16</f>
        <v>0</v>
      </c>
      <c r="F17" s="2467"/>
      <c r="G17" s="2448" t="s">
        <v>1000</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1001</v>
      </c>
      <c r="B18" s="2461" t="s">
        <v>1002</v>
      </c>
      <c r="C18" s="1860">
        <f>C19+C20-'数据-取费表'!E13</f>
        <v>0</v>
      </c>
      <c r="D18" s="2463"/>
      <c r="E18" s="1860"/>
      <c r="F18" s="2465"/>
      <c r="G18" s="2448" t="s">
        <v>1003</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982</v>
      </c>
      <c r="B19" s="2461" t="s">
        <v>1004</v>
      </c>
      <c r="C19" s="1860">
        <f>ROUND(D19*E19,0)</f>
        <v>0</v>
      </c>
      <c r="D19" s="2463">
        <f>IF('数据-取费表'!B10="住宅",IF(C1="仅计算典型户型",'数据-取费表'!E5,'数据-取费表'!B5),0)</f>
        <v>0</v>
      </c>
      <c r="E19" s="1860">
        <f>'数据-取费表'!E11</f>
        <v>160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984</v>
      </c>
      <c r="B20" s="2461" t="s">
        <v>1005</v>
      </c>
      <c r="C20" s="1860">
        <f>ROUND(D20*E20,0)</f>
        <v>128824</v>
      </c>
      <c r="D20" s="2463">
        <f>IF('数据-取费表'!B10&lt;&gt;"住宅",IF(C1="仅计算典型户型",'数据-取费表'!E5,'数据-取费表'!B5),0)</f>
        <v>644.12</v>
      </c>
      <c r="E20" s="1860">
        <f>'数据-取费表'!E12</f>
        <v>200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973</v>
      </c>
      <c r="B21" s="2472" t="s">
        <v>1006</v>
      </c>
      <c r="C21" s="2473">
        <f>C16+C17+C18</f>
        <v>2046369</v>
      </c>
      <c r="D21" s="2474"/>
      <c r="E21" s="2475"/>
      <c r="F21" s="2475"/>
      <c r="G21" s="2448" t="s">
        <v>1007</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974</v>
      </c>
      <c r="B22" s="2472" t="s">
        <v>1008</v>
      </c>
      <c r="C22" s="2473">
        <f>ROUND(C21*F22,0)</f>
        <v>40927</v>
      </c>
      <c r="D22" s="2475"/>
      <c r="E22" s="2475"/>
      <c r="F22" s="2476">
        <f>'数据-取费表'!E25</f>
        <v>0.02</v>
      </c>
      <c r="G22" s="2456" t="s">
        <v>1009</v>
      </c>
      <c r="H22" s="2459"/>
      <c r="I22" s="2459"/>
      <c r="J22" s="2459"/>
      <c r="K22" s="2514"/>
      <c r="L22" s="2427"/>
      <c r="M22" s="2427"/>
      <c r="N22" s="2427"/>
    </row>
    <row r="23" s="2425" customFormat="1" ht="13.5" customHeight="1" spans="1:11">
      <c r="A23" s="2447" t="s">
        <v>975</v>
      </c>
      <c r="B23" s="2472" t="s">
        <v>1010</v>
      </c>
      <c r="C23" s="2473">
        <f>ROUND(C4*F23*F11,0)</f>
        <v>94686</v>
      </c>
      <c r="D23" s="2475"/>
      <c r="E23" s="2475"/>
      <c r="F23" s="2476">
        <f>'数据-取费表'!E26</f>
        <v>0.02</v>
      </c>
      <c r="G23" s="2456" t="s">
        <v>1011</v>
      </c>
      <c r="H23" s="2459"/>
      <c r="I23" s="2459"/>
      <c r="J23" s="2459"/>
      <c r="K23" s="2514"/>
    </row>
    <row r="24" s="2425" customFormat="1" ht="13.5" customHeight="1" spans="1:11">
      <c r="A24" s="2447" t="s">
        <v>1012</v>
      </c>
      <c r="B24" s="2472" t="s">
        <v>1013</v>
      </c>
      <c r="C24" s="2477">
        <f>ROUND(F24/(1+'数据-取费表'!F30),4)</f>
        <v>0.029</v>
      </c>
      <c r="D24" s="2478" t="s">
        <v>1014</v>
      </c>
      <c r="E24" s="2478"/>
      <c r="F24" s="2476">
        <f>'数据-取费表'!E36+'数据-取费表'!E37</f>
        <v>0.0305</v>
      </c>
      <c r="G24" s="2456" t="s">
        <v>1015</v>
      </c>
      <c r="H24" s="2479"/>
      <c r="I24" s="2479"/>
      <c r="J24" s="2479"/>
      <c r="K24" s="2518"/>
    </row>
    <row r="25" s="2427" customFormat="1" ht="13.5" customHeight="1" spans="1:11">
      <c r="A25" s="2447" t="s">
        <v>1016</v>
      </c>
      <c r="B25" s="2474" t="s">
        <v>1017</v>
      </c>
      <c r="C25" s="2480">
        <f ca="1">C27</f>
        <v>0</v>
      </c>
      <c r="D25" s="2477">
        <f ca="1">C26</f>
        <v>0</v>
      </c>
      <c r="E25" s="2481" t="s">
        <v>1014</v>
      </c>
      <c r="F25" s="2482">
        <f ca="1">'数据-取费表'!E27</f>
        <v>0.0415</v>
      </c>
      <c r="G25" s="2448" t="s">
        <v>1018</v>
      </c>
      <c r="H25" s="2479"/>
      <c r="I25" s="2479"/>
      <c r="J25" s="2479"/>
      <c r="K25" s="2518"/>
    </row>
    <row r="26" s="2428" customFormat="1" ht="13.5" customHeight="1" spans="1:11">
      <c r="A26" s="2460" t="s">
        <v>996</v>
      </c>
      <c r="B26" s="2483" t="s">
        <v>1019</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998</v>
      </c>
      <c r="B27" s="2483" t="s">
        <v>1020</v>
      </c>
      <c r="C27" s="2488">
        <f ca="1">ROUND(IF('数据-取费表'!B24&lt;=1,(C21+C22+C23)*F25*'数据-取费表'!B26/2,(C21+C22+C23)*(POWER((1+F25),'数据-取费表'!B26/2)-1)),0)</f>
        <v>0</v>
      </c>
      <c r="D27" s="2485"/>
      <c r="E27" s="2486"/>
      <c r="F27" s="2487"/>
      <c r="G27" s="2448" t="s">
        <v>1021</v>
      </c>
      <c r="H27" s="2469"/>
      <c r="I27" s="2469"/>
      <c r="J27" s="2469"/>
      <c r="K27" s="2516"/>
    </row>
    <row r="28" s="2429" customFormat="1" ht="13.5" customHeight="1" spans="1:11">
      <c r="A28" s="2447" t="s">
        <v>1022</v>
      </c>
      <c r="B28" s="2489" t="s">
        <v>1023</v>
      </c>
      <c r="C28" s="2490">
        <f>C30</f>
        <v>327297</v>
      </c>
      <c r="D28" s="2477">
        <f>C29</f>
        <v>0.1544</v>
      </c>
      <c r="E28" s="2481" t="s">
        <v>1014</v>
      </c>
      <c r="F28" s="991">
        <f>'数据-取费表'!E28</f>
        <v>0.15</v>
      </c>
      <c r="G28" s="2491"/>
      <c r="H28" s="2479"/>
      <c r="I28" s="2479"/>
      <c r="J28" s="2479"/>
      <c r="K28" s="2518"/>
    </row>
    <row r="29" s="2430" customFormat="1" ht="13.5" customHeight="1" spans="1:11">
      <c r="A29" s="2460" t="s">
        <v>996</v>
      </c>
      <c r="B29" s="2492" t="s">
        <v>1024</v>
      </c>
      <c r="C29" s="2485">
        <f>ROUND((1+C24)*F28,4)</f>
        <v>0.1544</v>
      </c>
      <c r="D29" s="2485"/>
      <c r="E29" s="2486"/>
      <c r="F29" s="2493"/>
      <c r="G29" s="2448" t="s">
        <v>1025</v>
      </c>
      <c r="H29" s="2469"/>
      <c r="I29" s="2469"/>
      <c r="J29" s="2469"/>
      <c r="K29" s="2516"/>
    </row>
    <row r="30" s="2430" customFormat="1" ht="13.5" customHeight="1" spans="1:11">
      <c r="A30" s="2460" t="s">
        <v>998</v>
      </c>
      <c r="B30" s="2492" t="s">
        <v>1026</v>
      </c>
      <c r="C30" s="2494">
        <f>ROUND((C21+C22+C23)*F28,0)</f>
        <v>327297</v>
      </c>
      <c r="D30" s="2485"/>
      <c r="E30" s="2495"/>
      <c r="F30" s="2493"/>
      <c r="G30" s="2448"/>
      <c r="H30" s="2469"/>
      <c r="I30" s="2469"/>
      <c r="J30" s="2469"/>
      <c r="K30" s="2516"/>
    </row>
    <row r="31" s="2427" customFormat="1" ht="13.5" customHeight="1" spans="1:11">
      <c r="A31" s="2496" t="s">
        <v>1027</v>
      </c>
      <c r="B31" s="2472" t="s">
        <v>1028</v>
      </c>
      <c r="C31" s="2497">
        <f>ROUND(C4*F31/(1+'数据-取费表'!F30),0)</f>
        <v>1180887</v>
      </c>
      <c r="D31" s="2498"/>
      <c r="E31" s="2499"/>
      <c r="F31" s="2500">
        <f>'数据-取费表'!E29</f>
        <v>0.055</v>
      </c>
      <c r="G31" s="2501" t="s">
        <v>1029</v>
      </c>
      <c r="H31" s="2502"/>
      <c r="I31" s="2502"/>
      <c r="J31" s="2502"/>
      <c r="K31" s="2519"/>
    </row>
    <row r="32" s="2424" customFormat="1" ht="13.5" customHeight="1" spans="1:11">
      <c r="A32" s="2503" t="s">
        <v>1030</v>
      </c>
      <c r="B32" s="2504"/>
      <c r="C32" s="2505">
        <f ca="1">ROUND((C4-C21-C22-C23-C25-C28-C31)/(1+C24+D25+D28),0)</f>
        <v>15932089</v>
      </c>
      <c r="D32" s="2504"/>
      <c r="E32" s="2504"/>
      <c r="F32" s="2504"/>
      <c r="G32" s="2506" t="s">
        <v>1031</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2" workbookViewId="0">
      <selection activeCell="K39" sqref="K39"/>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5.8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3181</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08"/>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49383</v>
      </c>
      <c r="C3" s="1608" t="s">
        <v>1036</v>
      </c>
      <c r="D3" s="1608">
        <f>IF(C1="仅计算典型户型",'数据-取费表'!E5,'数据-取费表'!B5)</f>
        <v>644.12</v>
      </c>
      <c r="F3" s="1116"/>
      <c r="G3" s="1115"/>
      <c r="H3" s="1115"/>
      <c r="I3" s="1115"/>
      <c r="J3" s="1115"/>
      <c r="K3" s="1252"/>
      <c r="L3" s="1253"/>
      <c r="M3" s="1115"/>
      <c r="N3" s="1115"/>
      <c r="O3" s="1115"/>
      <c r="P3" s="2408"/>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100</v>
      </c>
      <c r="G15" s="1272"/>
      <c r="H15" s="1167">
        <f>SUMIF(76:76,G16,77:77)-SUMIF(76:76,C16,77:77)+100</f>
        <v>100</v>
      </c>
      <c r="I15" s="1168"/>
      <c r="J15" s="1167">
        <f>SUMIF(76:76,I16,77:77)-SUMIF(76:76,C16,77:77)+100</f>
        <v>100</v>
      </c>
      <c r="K15" s="1657">
        <v>2</v>
      </c>
      <c r="L15" s="1271"/>
      <c r="M15" s="1256"/>
      <c r="N15" s="1256"/>
      <c r="O15" s="1256"/>
      <c r="P15" s="510" t="s">
        <v>1064</v>
      </c>
      <c r="Q15" s="511" t="str">
        <f t="shared" si="6"/>
        <v>商业繁华度</v>
      </c>
      <c r="R15" s="1315" t="s">
        <v>1052</v>
      </c>
      <c r="S15" s="1316">
        <f t="shared" si="0"/>
        <v>100</v>
      </c>
      <c r="T15" s="1315" t="s">
        <v>1052</v>
      </c>
      <c r="U15" s="1316">
        <f t="shared" si="1"/>
        <v>100</v>
      </c>
      <c r="V15" s="1315" t="s">
        <v>1052</v>
      </c>
      <c r="W15" s="1316">
        <f t="shared" si="2"/>
        <v>100</v>
      </c>
      <c r="X15" s="1302"/>
      <c r="Y15" s="1273" t="s">
        <v>1064</v>
      </c>
      <c r="Z15" s="1301" t="str">
        <f t="shared" si="7"/>
        <v>商业繁华度</v>
      </c>
      <c r="AA15" s="1332">
        <f t="shared" si="3"/>
        <v>1</v>
      </c>
      <c r="AB15" s="1332">
        <f t="shared" si="4"/>
        <v>1</v>
      </c>
      <c r="AC15" s="1332">
        <f t="shared" si="5"/>
        <v>1</v>
      </c>
    </row>
    <row r="16" ht="15" spans="1:29">
      <c r="A16" s="524"/>
      <c r="B16" s="1694"/>
      <c r="C16" s="1278" t="s">
        <v>1065</v>
      </c>
      <c r="D16" s="1171"/>
      <c r="E16" s="1278" t="s">
        <v>1065</v>
      </c>
      <c r="F16" s="1695"/>
      <c r="G16" s="1278" t="s">
        <v>1065</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1065</v>
      </c>
      <c r="D18" s="1173"/>
      <c r="E18" s="1699" t="s">
        <v>1065</v>
      </c>
      <c r="F18" s="1698"/>
      <c r="G18" s="1699" t="s">
        <v>1065</v>
      </c>
      <c r="H18" s="1171"/>
      <c r="I18" s="1699" t="s">
        <v>1065</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1065</v>
      </c>
      <c r="D20" s="1171"/>
      <c r="E20" s="1699" t="s">
        <v>1065</v>
      </c>
      <c r="F20" s="1695"/>
      <c r="G20" s="1699" t="s">
        <v>1065</v>
      </c>
      <c r="H20" s="1171"/>
      <c r="I20" s="1699" t="s">
        <v>1065</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1066</v>
      </c>
      <c r="D22" s="1171"/>
      <c r="E22" s="1699" t="s">
        <v>1066</v>
      </c>
      <c r="F22" s="1695"/>
      <c r="G22" s="1699" t="s">
        <v>1066</v>
      </c>
      <c r="H22" s="1171"/>
      <c r="I22" s="1699" t="s">
        <v>1066</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1065</v>
      </c>
      <c r="D24" s="1171"/>
      <c r="E24" s="1278" t="s">
        <v>1065</v>
      </c>
      <c r="F24" s="1695"/>
      <c r="G24" s="1278" t="s">
        <v>1065</v>
      </c>
      <c r="H24" s="1171"/>
      <c r="I24" s="1278" t="s">
        <v>1065</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1069</v>
      </c>
      <c r="C27" s="1624"/>
      <c r="D27" s="1623">
        <v>100</v>
      </c>
      <c r="E27" s="1624"/>
      <c r="F27" s="1706">
        <f>SUMIF(90:90,E27,91:91)-SUMIF(90:90,C27,91:91)+100</f>
        <v>100</v>
      </c>
      <c r="G27" s="1624"/>
      <c r="H27" s="1623">
        <f>SUMIF(90:90,G27,91:91)-SUMIF(90:90,C27,91:91)+100</f>
        <v>100</v>
      </c>
      <c r="I27" s="1624"/>
      <c r="J27" s="1623">
        <f>SUMIF(90:90,I27,91:91)-SUMIF(90:90,C27,91:91)+100</f>
        <v>100</v>
      </c>
      <c r="K27" s="1282"/>
      <c r="L27" s="1255"/>
      <c r="M27" s="1261"/>
      <c r="N27" s="1261"/>
      <c r="O27" s="1261"/>
      <c r="P27" s="1729"/>
      <c r="Q27" s="1314" t="str">
        <f t="shared" si="11"/>
        <v>人流量</v>
      </c>
      <c r="R27" s="1310" t="s">
        <v>1052</v>
      </c>
      <c r="S27" s="1311">
        <f>F27</f>
        <v>100</v>
      </c>
      <c r="T27" s="1310" t="s">
        <v>1052</v>
      </c>
      <c r="U27" s="1311">
        <f>H27</f>
        <v>100</v>
      </c>
      <c r="V27" s="1310" t="s">
        <v>1052</v>
      </c>
      <c r="W27" s="1311">
        <f>J27</f>
        <v>100</v>
      </c>
      <c r="X27" s="1312"/>
      <c r="Y27" s="1274"/>
      <c r="Z27" s="1331" t="str">
        <f>Q27</f>
        <v>人流量</v>
      </c>
      <c r="AA27" s="1332">
        <f t="shared" si="3"/>
        <v>1</v>
      </c>
      <c r="AB27" s="1332">
        <f t="shared" si="4"/>
        <v>1</v>
      </c>
      <c r="AC27" s="1332">
        <f t="shared" si="5"/>
        <v>1</v>
      </c>
    </row>
    <row r="28" ht="15" spans="1:29">
      <c r="A28" s="524"/>
      <c r="B28" s="1147" t="s">
        <v>1070</v>
      </c>
      <c r="C28" s="1281" t="s">
        <v>1071</v>
      </c>
      <c r="D28" s="1158">
        <v>100</v>
      </c>
      <c r="E28" s="1281" t="s">
        <v>1071</v>
      </c>
      <c r="F28" s="1629">
        <f>SUMIF(92:92,E28,93:93)-SUMIF(92:92,C28,93:93)+100</f>
        <v>100</v>
      </c>
      <c r="G28" s="1281" t="s">
        <v>1071</v>
      </c>
      <c r="H28" s="1158">
        <f>SUMIF(92:92,G28,93:93)-SUMIF(92:92,C28,93:93)+100</f>
        <v>100</v>
      </c>
      <c r="I28" s="1281" t="s">
        <v>1071</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1073</v>
      </c>
      <c r="C32" s="2404" t="s">
        <v>1074</v>
      </c>
      <c r="D32" s="1204">
        <v>100</v>
      </c>
      <c r="E32" s="1709" t="s">
        <v>1074</v>
      </c>
      <c r="F32" s="1629">
        <f>SUMIF(100:100,E32,101:101)-SUMIF(100:100,C32,101:101)+100</f>
        <v>100</v>
      </c>
      <c r="G32" s="1709" t="s">
        <v>1074</v>
      </c>
      <c r="H32" s="1158">
        <f>SUMIF(100:100,G32,101:101)-SUMIF(100:100,C32,101:101)+100</f>
        <v>100</v>
      </c>
      <c r="I32" s="1709" t="s">
        <v>1074</v>
      </c>
      <c r="J32" s="1204">
        <f>SUMIF(100:100,I32,101:101)-SUMIF(100:100,C32,101:101)+100</f>
        <v>100</v>
      </c>
      <c r="K32" s="1282">
        <v>2</v>
      </c>
      <c r="L32" s="1271"/>
      <c r="M32" s="1256"/>
      <c r="N32" s="1256"/>
      <c r="O32" s="1256"/>
      <c r="P32" s="1731" t="s">
        <v>1075</v>
      </c>
      <c r="Q32" s="511" t="str">
        <f t="shared" si="11"/>
        <v>商业类型</v>
      </c>
      <c r="R32" s="1315" t="s">
        <v>1052</v>
      </c>
      <c r="S32" s="1316">
        <f t="shared" si="12"/>
        <v>100</v>
      </c>
      <c r="T32" s="1315" t="s">
        <v>1052</v>
      </c>
      <c r="U32" s="1316">
        <f t="shared" si="13"/>
        <v>100</v>
      </c>
      <c r="V32" s="1315" t="s">
        <v>1052</v>
      </c>
      <c r="W32" s="1316">
        <f t="shared" si="14"/>
        <v>100</v>
      </c>
      <c r="X32" s="1302"/>
      <c r="Y32" s="1287" t="s">
        <v>1075</v>
      </c>
      <c r="Z32" s="1301" t="str">
        <f t="shared" si="15"/>
        <v>商业类型</v>
      </c>
      <c r="AA32" s="1332">
        <f t="shared" si="3"/>
        <v>1</v>
      </c>
      <c r="AB32" s="1332">
        <f t="shared" si="4"/>
        <v>1</v>
      </c>
      <c r="AC32" s="1332">
        <f t="shared" si="5"/>
        <v>1</v>
      </c>
    </row>
    <row r="33" s="1102" customFormat="1" ht="15" spans="1:29">
      <c r="A33" s="1210"/>
      <c r="B33" s="1147" t="s">
        <v>1076</v>
      </c>
      <c r="C33" s="1630">
        <v>644</v>
      </c>
      <c r="D33" s="1149">
        <v>100</v>
      </c>
      <c r="E33" s="1153">
        <v>100</v>
      </c>
      <c r="F33" s="1631">
        <f>LOOKUP(E33,103:103,104:104)-LOOKUP(C33,103:103,104:104)+100</f>
        <v>102</v>
      </c>
      <c r="G33" s="1152">
        <v>110</v>
      </c>
      <c r="H33" s="1149">
        <f>LOOKUP(G33,103:103,104:104)-LOOKUP(C33,103:103,104:104)+100</f>
        <v>102</v>
      </c>
      <c r="I33" s="1152">
        <v>144</v>
      </c>
      <c r="J33" s="1149">
        <f>LOOKUP(I33,103:103,104:104)-LOOKUP(C33,103:103,104:104)+100</f>
        <v>102</v>
      </c>
      <c r="K33" s="1280"/>
      <c r="L33" s="1269"/>
      <c r="M33" s="1285"/>
      <c r="N33" s="1285"/>
      <c r="O33" s="1285"/>
      <c r="P33" s="1732"/>
      <c r="Q33" s="1666" t="str">
        <f t="shared" si="11"/>
        <v>项目建筑规模</v>
      </c>
      <c r="R33" s="1317" t="s">
        <v>1052</v>
      </c>
      <c r="S33" s="1318">
        <f t="shared" si="12"/>
        <v>102</v>
      </c>
      <c r="T33" s="1317" t="s">
        <v>1052</v>
      </c>
      <c r="U33" s="1318">
        <f t="shared" si="13"/>
        <v>102</v>
      </c>
      <c r="V33" s="1317" t="s">
        <v>1052</v>
      </c>
      <c r="W33" s="1318">
        <f t="shared" si="14"/>
        <v>102</v>
      </c>
      <c r="X33" s="1319"/>
      <c r="Y33" s="1287"/>
      <c r="Z33" s="1333" t="str">
        <f t="shared" si="15"/>
        <v>项目建筑规模</v>
      </c>
      <c r="AA33" s="1332">
        <f t="shared" si="3"/>
        <v>0.980392156862745</v>
      </c>
      <c r="AB33" s="1332">
        <f t="shared" si="4"/>
        <v>0.980392156862745</v>
      </c>
      <c r="AC33" s="1332">
        <f t="shared" si="5"/>
        <v>0.980392156862745</v>
      </c>
    </row>
    <row r="34" ht="15" spans="1:29">
      <c r="A34" s="1205"/>
      <c r="B34" s="1147" t="s">
        <v>1077</v>
      </c>
      <c r="C34" s="1711"/>
      <c r="D34" s="1158">
        <v>100</v>
      </c>
      <c r="E34" s="1712"/>
      <c r="F34" s="1629">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1078</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1079</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09">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1080</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1081</v>
      </c>
      <c r="C38" s="1206" t="s">
        <v>1082</v>
      </c>
      <c r="D38" s="1158">
        <v>100</v>
      </c>
      <c r="E38" s="1206" t="s">
        <v>1083</v>
      </c>
      <c r="F38" s="1629">
        <f>SUMIF(114:114,E38,115:115)-SUMIF(114:114,C38,115:115)+100</f>
        <v>90</v>
      </c>
      <c r="G38" s="1206" t="s">
        <v>1083</v>
      </c>
      <c r="H38" s="1158">
        <f>SUMIF(114:114,G38,115:115)-SUMIF(114:114,C38,115:115)+100</f>
        <v>90</v>
      </c>
      <c r="I38" s="1206" t="s">
        <v>1083</v>
      </c>
      <c r="J38" s="1158">
        <f>SUMIF(114:114,I38,115:115)-SUMIF(114:114,C38,115:115)+100</f>
        <v>90</v>
      </c>
      <c r="K38" s="2410">
        <v>10</v>
      </c>
      <c r="L38" s="1271"/>
      <c r="M38" s="1256"/>
      <c r="N38" s="1256"/>
      <c r="O38" s="1256"/>
      <c r="P38" s="1732" t="s">
        <v>1075</v>
      </c>
      <c r="Q38" s="511" t="str">
        <f t="shared" si="11"/>
        <v>业态</v>
      </c>
      <c r="R38" s="1315" t="s">
        <v>1052</v>
      </c>
      <c r="S38" s="1316">
        <f t="shared" si="12"/>
        <v>90</v>
      </c>
      <c r="T38" s="1315" t="s">
        <v>1052</v>
      </c>
      <c r="U38" s="1316">
        <f t="shared" si="13"/>
        <v>90</v>
      </c>
      <c r="V38" s="1315" t="s">
        <v>1052</v>
      </c>
      <c r="W38" s="1316">
        <f t="shared" si="14"/>
        <v>90</v>
      </c>
      <c r="X38" s="1302"/>
      <c r="Y38" s="1287" t="s">
        <v>1075</v>
      </c>
      <c r="Z38" s="1301" t="str">
        <f t="shared" si="15"/>
        <v>业态</v>
      </c>
      <c r="AA38" s="1332">
        <f t="shared" si="3"/>
        <v>1.11111111111111</v>
      </c>
      <c r="AB38" s="1332">
        <f t="shared" si="4"/>
        <v>1.11111111111111</v>
      </c>
      <c r="AC38" s="1332">
        <f t="shared" si="5"/>
        <v>1.11111111111111</v>
      </c>
    </row>
    <row r="39" ht="15" spans="1:29">
      <c r="A39" s="1205"/>
      <c r="B39" s="1147" t="s">
        <v>1084</v>
      </c>
      <c r="C39" s="1206" t="s">
        <v>1085</v>
      </c>
      <c r="D39" s="1158">
        <v>100</v>
      </c>
      <c r="E39" s="1206" t="s">
        <v>1085</v>
      </c>
      <c r="F39" s="1629">
        <f>SUMIF(116:116,E39,117:117)-SUMIF(116:116,C39,117:117)+100</f>
        <v>100</v>
      </c>
      <c r="G39" s="1206" t="s">
        <v>1085</v>
      </c>
      <c r="H39" s="1158">
        <f>SUMIF(116:116,G39,117:117)-SUMIF(116:116,C39,117:117)+100</f>
        <v>100</v>
      </c>
      <c r="I39" s="1206" t="s">
        <v>1085</v>
      </c>
      <c r="J39" s="1158">
        <f>SUMIF(116:116,I39,117:117)-SUMIF(116:116,C39,117:117)+100</f>
        <v>100</v>
      </c>
      <c r="K39" s="2409">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1086</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1087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1088</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0"/>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1065</v>
      </c>
      <c r="D43" s="1158">
        <v>100</v>
      </c>
      <c r="E43" s="1206" t="s">
        <v>1065</v>
      </c>
      <c r="F43" s="1629">
        <f>SUMIF(124:124,E43,125:125)-SUMIF(124:124,C43,125:125)+100</f>
        <v>100</v>
      </c>
      <c r="G43" s="1206" t="s">
        <v>1065</v>
      </c>
      <c r="H43" s="1158">
        <f>SUMIF(124:124,G43,125:125)-SUMIF(124:124,C43,125:125)+100</f>
        <v>100</v>
      </c>
      <c r="I43" s="1206" t="s">
        <v>1065</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1089</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1090</v>
      </c>
      <c r="B48" s="1644"/>
      <c r="C48" s="1645">
        <f>R49</f>
        <v>49383</v>
      </c>
      <c r="D48" s="851" t="s">
        <v>1091</v>
      </c>
      <c r="E48" s="1646">
        <f>R48</f>
        <v>54466</v>
      </c>
      <c r="F48" s="852"/>
      <c r="G48" s="1645">
        <f>T48</f>
        <v>49020</v>
      </c>
      <c r="H48" s="852"/>
      <c r="I48" s="1646">
        <f>V48</f>
        <v>44662</v>
      </c>
      <c r="J48" s="852"/>
      <c r="K48" s="941">
        <f>F48+H48+J48</f>
        <v>0</v>
      </c>
      <c r="L48" s="1291"/>
      <c r="N48" s="1256"/>
      <c r="P48" s="511" t="str">
        <f>A48</f>
        <v>比较价值（元/平方米）</v>
      </c>
      <c r="Q48" s="511"/>
      <c r="R48" s="1332">
        <f>IF(E1="售价",ROUND(PRODUCT(R47,AA7:AA46),0),ROUND(PRODUCT(R47,AA7:AA46),1))</f>
        <v>54466</v>
      </c>
      <c r="S48" s="1332"/>
      <c r="T48" s="1332">
        <f>IF(E1="售价",ROUND(PRODUCT(T47,AB7:AB46),0),ROUND(PRODUCT(T47,AB7:AB46),1))</f>
        <v>49020</v>
      </c>
      <c r="U48" s="1332"/>
      <c r="V48" s="1332">
        <f>IF(E1="售价",ROUND(PRODUCT(V47,AC7:AC46),0),ROUND(PRODUCT(V47,AC7:AC46),1))</f>
        <v>44662</v>
      </c>
      <c r="W48" s="1332"/>
      <c r="X48" s="1320"/>
      <c r="Y48" s="1320"/>
      <c r="Z48" s="1320"/>
      <c r="AA48" s="1320"/>
      <c r="AB48" s="1320"/>
      <c r="AC48" s="1320"/>
    </row>
    <row r="49" ht="15.15" spans="1:29">
      <c r="A49" s="1225" t="s">
        <v>1092</v>
      </c>
      <c r="B49" s="1226"/>
      <c r="C49" s="1647">
        <f>R49</f>
        <v>49383</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49383</v>
      </c>
      <c r="S49" s="1667"/>
      <c r="T49" s="1667"/>
      <c r="U49" s="1667"/>
      <c r="V49" s="1667"/>
      <c r="W49" s="1667"/>
      <c r="X49" s="1320"/>
      <c r="Y49" s="1320"/>
      <c r="Z49" s="1320"/>
      <c r="AA49" s="1320"/>
      <c r="AB49" s="1320"/>
      <c r="AC49" s="1320"/>
    </row>
    <row r="50" spans="5:29">
      <c r="E50" s="601">
        <v>2009</v>
      </c>
      <c r="G50" s="2407">
        <v>2008</v>
      </c>
      <c r="P50" s="2411"/>
      <c r="Q50" s="1339"/>
      <c r="R50" s="1339"/>
      <c r="S50" s="1339"/>
      <c r="T50" s="1339"/>
      <c r="U50" s="1339"/>
      <c r="V50" s="1339"/>
      <c r="W50" s="1339"/>
      <c r="X50" s="1339"/>
      <c r="Y50" s="1339"/>
      <c r="Z50" s="1339"/>
      <c r="AA50" s="1339"/>
      <c r="AB50" s="1339"/>
      <c r="AC50" s="1339"/>
    </row>
    <row r="51" spans="16:29">
      <c r="P51" s="2411"/>
      <c r="Q51" s="1339"/>
      <c r="R51" s="1339"/>
      <c r="S51" s="1339"/>
      <c r="T51" s="1339"/>
      <c r="U51" s="1339"/>
      <c r="V51" s="1339"/>
      <c r="W51" s="1339"/>
      <c r="X51" s="1339"/>
      <c r="Y51" s="1339"/>
      <c r="Z51" s="1339"/>
      <c r="AA51" s="1339"/>
      <c r="AB51" s="1339"/>
      <c r="AC51" s="1339"/>
    </row>
    <row r="52" ht="13.5" customHeight="1" spans="3:29">
      <c r="C52" s="858" t="s">
        <v>1093</v>
      </c>
      <c r="D52" s="550"/>
      <c r="E52" s="1229">
        <f>IF(E47&lt;E48,E48/E47-1,E47/E48-1)</f>
        <v>0.0893200000000001</v>
      </c>
      <c r="F52" s="1230" t="str">
        <f>IF(OR(E52&gt;=0.3,E52&lt;=-0.3),"超过30%","")</f>
        <v/>
      </c>
      <c r="G52" s="1229">
        <f>IF(G47&lt;G48,G48/G47-1,G47/G48-1)</f>
        <v>0.0893333333333333</v>
      </c>
      <c r="H52" s="1230" t="str">
        <f>IF(OR(G52&gt;=0.3,G52&lt;=-0.3),"超过30%","")</f>
        <v/>
      </c>
      <c r="I52" s="1229">
        <f>IF(I47&lt;I48,I48/I47-1,I47/I48-1)</f>
        <v>0.0893170731707318</v>
      </c>
      <c r="J52" s="1230" t="str">
        <f>IF(OR(I52&gt;=0.3,I52&lt;=-0.3),"超过30%","")</f>
        <v/>
      </c>
      <c r="P52" s="2411"/>
      <c r="Q52" s="1339"/>
      <c r="R52" s="1339"/>
      <c r="S52" s="1339"/>
      <c r="T52" s="1339"/>
      <c r="U52" s="1339"/>
      <c r="V52" s="1339"/>
      <c r="W52" s="1339"/>
      <c r="X52" s="1339"/>
      <c r="Y52" s="1339"/>
      <c r="Z52" s="1339"/>
      <c r="AA52" s="1339"/>
      <c r="AB52" s="1339"/>
      <c r="AC52" s="1339"/>
    </row>
    <row r="53" ht="13.5" customHeight="1" spans="3:29">
      <c r="C53" s="858" t="s">
        <v>1094</v>
      </c>
      <c r="D53" s="549"/>
      <c r="E53" s="1229">
        <f>IF(E48&lt;G48,G48/E48-1,E48/G48-1)</f>
        <v>0.11109751121991</v>
      </c>
      <c r="F53" s="1230" t="str">
        <f>IF(OR(E53&gt;=0.2,E53&lt;=-0.2),"超过20%","")</f>
        <v/>
      </c>
      <c r="G53" s="1229">
        <f>IF(G48&lt;I48,I48/G48-1,G48/I48-1)</f>
        <v>0.0975773588285342</v>
      </c>
      <c r="H53" s="1230" t="str">
        <f>IF(OR(G53&gt;=0.2,G53&lt;=-0.2),"超过20%","")</f>
        <v/>
      </c>
      <c r="I53" s="1229">
        <f>IF(I48&lt;E48,E48/I48-1,I48/E48-1)</f>
        <v>0.219515471765707</v>
      </c>
      <c r="J53" s="1230" t="str">
        <f>IF(OR(I53&gt;=0.2,I53&lt;=-0.2),"超过20%","")</f>
        <v>超过20%</v>
      </c>
      <c r="P53" s="2411"/>
      <c r="Q53" s="1339"/>
      <c r="R53" s="1339"/>
      <c r="S53" s="1339"/>
      <c r="T53" s="1339"/>
      <c r="U53" s="1339"/>
      <c r="V53" s="1339"/>
      <c r="W53" s="1339"/>
      <c r="X53" s="1339"/>
      <c r="Y53" s="1339"/>
      <c r="Z53" s="1339"/>
      <c r="AA53" s="1339"/>
      <c r="AB53" s="1339"/>
      <c r="AC53" s="1339"/>
    </row>
    <row r="54" s="1103" customFormat="1" ht="13.5" customHeight="1" spans="3:29">
      <c r="C54" s="858" t="s">
        <v>1095</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2"/>
      <c r="Q54" s="2414"/>
      <c r="R54" s="2414"/>
      <c r="S54" s="2414"/>
      <c r="T54" s="2414"/>
      <c r="U54" s="2414"/>
      <c r="V54" s="2414"/>
      <c r="W54" s="2414"/>
      <c r="X54" s="2414"/>
      <c r="Y54" s="2414"/>
      <c r="Z54" s="2414"/>
      <c r="AA54" s="2414"/>
      <c r="AB54" s="2414"/>
      <c r="AC54" s="2414"/>
    </row>
    <row r="55" s="1103" customFormat="1" spans="2:29">
      <c r="B55" s="1231"/>
      <c r="C55" s="1232"/>
      <c r="K55" s="1294"/>
      <c r="L55" s="1295"/>
      <c r="P55" s="2412"/>
      <c r="Q55" s="2414"/>
      <c r="R55" s="2414"/>
      <c r="S55" s="2414"/>
      <c r="T55" s="2414"/>
      <c r="U55" s="2414"/>
      <c r="V55" s="2414"/>
      <c r="W55" s="2414"/>
      <c r="X55" s="2414"/>
      <c r="Y55" s="2414"/>
      <c r="Z55" s="2414"/>
      <c r="AA55" s="2414"/>
      <c r="AB55" s="2414"/>
      <c r="AC55" s="2414"/>
    </row>
    <row r="56" spans="2:29">
      <c r="B56" s="1231"/>
      <c r="C56" s="1232"/>
      <c r="P56" s="2411"/>
      <c r="Q56" s="1339"/>
      <c r="R56" s="1339"/>
      <c r="S56" s="1339"/>
      <c r="T56" s="1339"/>
      <c r="U56" s="1339"/>
      <c r="V56" s="1339"/>
      <c r="W56" s="1339"/>
      <c r="X56" s="1339"/>
      <c r="Y56" s="1339"/>
      <c r="Z56" s="1339"/>
      <c r="AA56" s="1339"/>
      <c r="AB56" s="1339"/>
      <c r="AC56" s="1339"/>
    </row>
    <row r="57" ht="21.15" spans="1:29">
      <c r="A57" s="1343" t="s">
        <v>1096</v>
      </c>
      <c r="B57" s="1320"/>
      <c r="C57" s="1344"/>
      <c r="D57" s="1344"/>
      <c r="E57" s="1344"/>
      <c r="F57" s="1344"/>
      <c r="G57" s="1344"/>
      <c r="H57" s="1344"/>
      <c r="I57" s="1344"/>
      <c r="J57" s="1344"/>
      <c r="K57" s="1660"/>
      <c r="L57" s="1397"/>
      <c r="M57" s="1395"/>
      <c r="N57" s="1662"/>
      <c r="O57" s="1662"/>
      <c r="P57" s="2413"/>
      <c r="Q57" s="2415"/>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1097</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1098</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1099</v>
      </c>
      <c r="D65" s="1366" t="s">
        <v>1100</v>
      </c>
      <c r="E65" s="1366" t="s">
        <v>1101</v>
      </c>
      <c r="F65" s="1366" t="s">
        <v>1102</v>
      </c>
      <c r="G65" s="1366" t="s">
        <v>1103</v>
      </c>
      <c r="H65" s="1366" t="s">
        <v>1104</v>
      </c>
      <c r="I65" s="1366" t="s">
        <v>1105</v>
      </c>
      <c r="J65" s="1366"/>
      <c r="K65" s="1059"/>
      <c r="L65" s="1059"/>
      <c r="M65" s="1414"/>
      <c r="N65" s="1410"/>
      <c r="O65" s="1410"/>
      <c r="P65" s="1745"/>
      <c r="Q65" s="1402"/>
    </row>
    <row r="66" ht="14.55" spans="1:17">
      <c r="A66" s="1362"/>
      <c r="B66" s="1367"/>
      <c r="C66" s="1368" t="s">
        <v>1106</v>
      </c>
      <c r="D66" s="1368" t="s">
        <v>1106</v>
      </c>
      <c r="E66" s="1368" t="s">
        <v>1106</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1107</v>
      </c>
      <c r="D82" s="1366" t="s">
        <v>1108</v>
      </c>
      <c r="E82" s="1366" t="s">
        <v>1109</v>
      </c>
      <c r="F82" s="1366" t="s">
        <v>1110</v>
      </c>
      <c r="G82" s="1366" t="s">
        <v>1111</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1112</v>
      </c>
      <c r="D86" s="1757" t="s">
        <v>1113</v>
      </c>
      <c r="E86" s="1757" t="s">
        <v>1114</v>
      </c>
      <c r="F86" s="1757" t="s">
        <v>1115</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1116</v>
      </c>
      <c r="D88" s="1757" t="s">
        <v>1065</v>
      </c>
      <c r="E88" s="1757" t="s">
        <v>1117</v>
      </c>
      <c r="F88" s="2416" t="s">
        <v>1118</v>
      </c>
      <c r="G88" s="1757" t="s">
        <v>1119</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1120</v>
      </c>
      <c r="D90" s="1757" t="s">
        <v>1121</v>
      </c>
      <c r="E90" s="1757" t="s">
        <v>1117</v>
      </c>
      <c r="F90" s="2416" t="s">
        <v>1118</v>
      </c>
      <c r="G90" s="1757" t="s">
        <v>1119</v>
      </c>
      <c r="H90" s="1065"/>
      <c r="I90" s="1065"/>
      <c r="J90" s="1065"/>
      <c r="K90" s="1065"/>
      <c r="L90" s="1065"/>
      <c r="M90" s="1417"/>
      <c r="N90" s="1418"/>
      <c r="O90" s="1418"/>
      <c r="P90" s="175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55"/>
      <c r="Q91" s="1434"/>
    </row>
    <row r="92" ht="15.15" spans="1:17">
      <c r="A92" s="1362"/>
      <c r="B92" s="1365" t="str">
        <f>B28</f>
        <v>楼层</v>
      </c>
      <c r="C92" s="2417" t="s">
        <v>1122</v>
      </c>
      <c r="D92" s="2417" t="s">
        <v>1123</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28.8" spans="1:17">
      <c r="A100" s="1360" t="s">
        <v>1072</v>
      </c>
      <c r="B100" s="1361" t="s">
        <v>1073</v>
      </c>
      <c r="C100" s="1753" t="s">
        <v>1124</v>
      </c>
      <c r="D100" s="1753" t="s">
        <v>1125</v>
      </c>
      <c r="E100" s="1753" t="s">
        <v>1126</v>
      </c>
      <c r="F100" s="1753" t="s">
        <v>1074</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1076</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55"/>
      <c r="Q104" s="1434"/>
    </row>
    <row r="105" ht="15.15" spans="1:17">
      <c r="A105" s="1392"/>
      <c r="B105" s="1365" t="s">
        <v>1077</v>
      </c>
      <c r="C105" s="1373"/>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45"/>
      <c r="Q106" s="1402"/>
    </row>
    <row r="107" ht="15.15" spans="1:17">
      <c r="A107" s="1392"/>
      <c r="B107" s="1365" t="s">
        <v>1078</v>
      </c>
      <c r="C107" s="1373"/>
      <c r="D107" s="1373"/>
      <c r="E107" s="1373"/>
      <c r="F107" s="1386"/>
      <c r="G107" s="1386"/>
      <c r="H107" s="1386"/>
      <c r="I107" s="1386"/>
      <c r="J107" s="1386"/>
      <c r="K107" s="1085"/>
      <c r="L107" s="1085"/>
      <c r="M107" s="1428"/>
      <c r="N107" s="1410"/>
      <c r="O107" s="1410"/>
      <c r="P107" s="1745"/>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45"/>
      <c r="Q108" s="1402"/>
    </row>
    <row r="109" ht="15.15" spans="1:17">
      <c r="A109" s="1392"/>
      <c r="B109" s="1365" t="s">
        <v>1079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1080</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1081</v>
      </c>
      <c r="C114" s="1757" t="s">
        <v>1082</v>
      </c>
      <c r="D114" s="1757" t="s">
        <v>1083</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90</v>
      </c>
      <c r="E115" s="1368">
        <f t="shared" si="27"/>
        <v>80</v>
      </c>
      <c r="F115" s="1368">
        <f t="shared" si="27"/>
        <v>70</v>
      </c>
      <c r="G115" s="1368">
        <f t="shared" si="27"/>
        <v>60</v>
      </c>
      <c r="H115" s="1368">
        <f t="shared" si="27"/>
        <v>50</v>
      </c>
      <c r="I115" s="1368">
        <f t="shared" si="27"/>
        <v>40</v>
      </c>
      <c r="J115" s="1368">
        <f t="shared" si="27"/>
        <v>30</v>
      </c>
      <c r="K115" s="1368">
        <f t="shared" si="27"/>
        <v>20</v>
      </c>
      <c r="L115" s="1368">
        <f t="shared" si="27"/>
        <v>10</v>
      </c>
      <c r="M115" s="1415">
        <f t="shared" si="27"/>
        <v>0</v>
      </c>
      <c r="N115" s="1413"/>
      <c r="O115" s="1413"/>
      <c r="P115" s="1745"/>
      <c r="Q115" s="1402"/>
    </row>
    <row r="116" ht="15.15" spans="1:17">
      <c r="A116" s="1392"/>
      <c r="B116" s="1365" t="s">
        <v>1084</v>
      </c>
      <c r="C116" s="1757" t="s">
        <v>1127</v>
      </c>
      <c r="D116" s="1757" t="s">
        <v>1085</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1086</v>
      </c>
      <c r="C118" s="2418"/>
      <c r="D118" s="2418"/>
      <c r="E118" s="2418"/>
      <c r="F118" s="2418"/>
      <c r="G118" s="2418"/>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1128</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1088</v>
      </c>
      <c r="C122" s="1757" t="s">
        <v>1129</v>
      </c>
      <c r="D122" s="1757" t="s">
        <v>1130</v>
      </c>
      <c r="E122" s="1757" t="s">
        <v>1131</v>
      </c>
      <c r="F122" s="2419" t="s">
        <v>1132</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5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D48">
      <formula1>"简单平均,加权平均"</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59" sqref="S59"/>
    </sheetView>
  </sheetViews>
  <sheetFormatPr defaultColWidth="8.87962962962963"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7962962962963"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D13" sqref="D13"/>
    </sheetView>
  </sheetViews>
  <sheetFormatPr defaultColWidth="9" defaultRowHeight="15"/>
  <cols>
    <col min="1" max="1" width="9" style="2142" customWidth="1"/>
    <col min="2" max="2" width="20.6296296296296" style="2143" customWidth="1"/>
    <col min="3" max="3" width="11.8796296296296" style="2143" customWidth="1"/>
    <col min="4" max="4" width="40.5" style="2142" customWidth="1"/>
    <col min="5" max="5" width="15.75" style="2142" customWidth="1"/>
    <col min="6" max="6" width="10.6296296296296" style="2142" customWidth="1"/>
    <col min="7" max="7" width="4.87962962962963" style="2142" customWidth="1"/>
    <col min="8" max="8" width="8.5" style="2142" customWidth="1"/>
    <col min="9" max="9" width="21.25" style="2142" customWidth="1"/>
    <col min="10" max="10" width="12.25" style="2142" customWidth="1"/>
    <col min="11" max="11" width="40.1296296296296" style="1682" customWidth="1"/>
    <col min="12" max="12" width="18.3796296296296" style="2142" customWidth="1"/>
    <col min="13" max="13" width="13" style="2142" customWidth="1"/>
    <col min="14" max="14" width="13.1296296296296" style="2141" customWidth="1"/>
    <col min="15" max="15" width="5.25" style="2141" customWidth="1"/>
    <col min="16" max="16" width="24.8796296296296" style="2141" customWidth="1"/>
    <col min="17" max="17" width="13.75" style="2144" customWidth="1"/>
    <col min="18" max="18" width="26.1296296296296" style="2141" customWidth="1"/>
    <col min="19" max="19" width="1.5" style="2141" customWidth="1"/>
    <col min="20" max="37" width="9" style="2141"/>
    <col min="38" max="16384" width="9" style="2142"/>
  </cols>
  <sheetData>
    <row r="1" s="2139" customFormat="1" ht="21" spans="1:37">
      <c r="A1" s="2145" t="s">
        <v>1133</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2075</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32220</v>
      </c>
      <c r="C3" s="2154" t="s">
        <v>1134</v>
      </c>
      <c r="D3" s="1526"/>
      <c r="E3" s="2155"/>
      <c r="F3" s="2155"/>
      <c r="G3" s="2156"/>
      <c r="H3" s="2160" t="s">
        <v>1135</v>
      </c>
      <c r="I3" s="2157"/>
      <c r="J3" s="2157"/>
      <c r="K3" s="2292"/>
      <c r="L3" s="2157"/>
      <c r="M3" s="2157"/>
    </row>
    <row r="4" ht="18" customHeight="1" spans="1:13">
      <c r="A4" s="2161" t="s">
        <v>1136</v>
      </c>
      <c r="B4" s="2162" t="s">
        <v>1137</v>
      </c>
      <c r="C4" s="2162" t="s">
        <v>1138</v>
      </c>
      <c r="D4" s="2162" t="s">
        <v>1139</v>
      </c>
      <c r="E4" s="2163" t="s">
        <v>1140</v>
      </c>
      <c r="F4" s="2164"/>
      <c r="G4" s="2165"/>
      <c r="H4" s="2161" t="s">
        <v>1136</v>
      </c>
      <c r="I4" s="2162" t="s">
        <v>1137</v>
      </c>
      <c r="J4" s="2162" t="s">
        <v>1138</v>
      </c>
      <c r="K4" s="2162" t="s">
        <v>1139</v>
      </c>
      <c r="L4" s="2163" t="s">
        <v>1140</v>
      </c>
      <c r="M4" s="2164"/>
    </row>
    <row r="5" ht="18" customHeight="1" spans="1:13">
      <c r="A5" s="2166">
        <v>1</v>
      </c>
      <c r="B5" s="2167" t="s">
        <v>1141</v>
      </c>
      <c r="C5" s="2168">
        <f ca="1">C6+C10+C12</f>
        <v>1483005</v>
      </c>
      <c r="D5" s="2169" t="s">
        <v>1142</v>
      </c>
      <c r="E5" s="1526"/>
      <c r="F5" s="2170"/>
      <c r="G5" s="2165"/>
      <c r="H5" s="2166">
        <v>1</v>
      </c>
      <c r="I5" s="2167" t="s">
        <v>1141</v>
      </c>
      <c r="J5" s="2168">
        <f ca="1">J6+J10+J12</f>
        <v>0</v>
      </c>
      <c r="K5" s="2293" t="s">
        <v>1143</v>
      </c>
      <c r="L5" s="1526"/>
      <c r="M5" s="2170"/>
    </row>
    <row r="6" ht="18" customHeight="1" spans="1:13">
      <c r="A6" s="2171" t="s">
        <v>973</v>
      </c>
      <c r="B6" s="2172" t="s">
        <v>1144</v>
      </c>
      <c r="C6" s="2168">
        <f>ROUND(F6*F8*F7*(1-F9),0)</f>
        <v>1481154</v>
      </c>
      <c r="D6" s="2173" t="s">
        <v>1145</v>
      </c>
      <c r="E6" s="2174" t="s">
        <v>1146</v>
      </c>
      <c r="F6" s="2175">
        <f>'数据-取费表'!B30</f>
        <v>7</v>
      </c>
      <c r="G6" s="2165"/>
      <c r="H6" s="2171" t="s">
        <v>973</v>
      </c>
      <c r="I6" s="2172" t="s">
        <v>1144</v>
      </c>
      <c r="J6" s="2168">
        <f>ROUND(M6*M8*M7*(1-M9),0)</f>
        <v>0</v>
      </c>
      <c r="K6" s="2173" t="s">
        <v>1145</v>
      </c>
      <c r="L6" s="2174" t="s">
        <v>1146</v>
      </c>
      <c r="M6" s="2175">
        <f>'数据-取费表'!B37</f>
        <v>0</v>
      </c>
    </row>
    <row r="7" ht="18" customHeight="1" spans="1:13">
      <c r="A7" s="2176"/>
      <c r="B7" s="2177"/>
      <c r="C7" s="2178"/>
      <c r="D7" s="2179"/>
      <c r="E7" s="2174" t="s">
        <v>1147</v>
      </c>
      <c r="F7" s="2175">
        <f>IF('数据-取费表'!B42="",IF(D1="仅计算典型户型",'数据-取费表'!E5,'数据-取费表'!B5),'数据-取费表'!B42)</f>
        <v>644.12</v>
      </c>
      <c r="G7" s="2165"/>
      <c r="H7" s="2180"/>
      <c r="I7" s="2177"/>
      <c r="J7" s="2178"/>
      <c r="K7" s="2179"/>
      <c r="L7" s="2174" t="s">
        <v>1147</v>
      </c>
      <c r="M7" s="2175">
        <f>IF('数据-取费表'!B42="",IF(D1="仅计算典型户型",'数据-取费表'!E5,'数据-取费表'!B5),'数据-取费表'!B42)</f>
        <v>644.12</v>
      </c>
    </row>
    <row r="8" ht="18" customHeight="1" spans="1:13">
      <c r="A8" s="2176"/>
      <c r="B8" s="2177"/>
      <c r="C8" s="2178"/>
      <c r="D8" s="2179"/>
      <c r="E8" s="2174" t="s">
        <v>1148</v>
      </c>
      <c r="F8" s="2175">
        <f>'数据-取费表'!B43</f>
        <v>365</v>
      </c>
      <c r="G8" s="2165"/>
      <c r="H8" s="2180"/>
      <c r="I8" s="2177"/>
      <c r="J8" s="2178"/>
      <c r="K8" s="2179"/>
      <c r="L8" s="2174" t="s">
        <v>1149</v>
      </c>
      <c r="M8" s="2175">
        <f>'数据-取费表'!B43</f>
        <v>365</v>
      </c>
    </row>
    <row r="9" ht="18" customHeight="1" spans="1:13">
      <c r="A9" s="2176"/>
      <c r="B9" s="2177"/>
      <c r="C9" s="2178"/>
      <c r="D9" s="2181"/>
      <c r="E9" s="2174" t="s">
        <v>1150</v>
      </c>
      <c r="F9" s="2182">
        <f>'数据-取费表'!B33</f>
        <v>0.1</v>
      </c>
      <c r="G9" s="2165"/>
      <c r="H9" s="2180"/>
      <c r="I9" s="2177"/>
      <c r="J9" s="2294"/>
      <c r="K9" s="2295"/>
      <c r="L9" s="2186" t="s">
        <v>1150</v>
      </c>
      <c r="M9" s="2182">
        <f>'数据-取费表'!B39</f>
        <v>0</v>
      </c>
    </row>
    <row r="10" ht="18" customHeight="1" spans="1:13">
      <c r="A10" s="2171" t="s">
        <v>974</v>
      </c>
      <c r="B10" s="2183" t="s">
        <v>1151</v>
      </c>
      <c r="C10" s="2184">
        <f ca="1">ROUND(IF(F10="押一",C6/12*F11,IF(F10="押二",C6/12*2*F11,IF(F10="押三",C6/12*3*F11,C11*F11))),0)</f>
        <v>1851</v>
      </c>
      <c r="D10" s="2185" t="s">
        <v>1152</v>
      </c>
      <c r="E10" s="2186" t="s">
        <v>1153</v>
      </c>
      <c r="F10" s="2187" t="s">
        <v>1154</v>
      </c>
      <c r="G10" s="2165"/>
      <c r="H10" s="2171" t="s">
        <v>974</v>
      </c>
      <c r="I10" s="2183" t="s">
        <v>1151</v>
      </c>
      <c r="J10" s="2184">
        <f ca="1">ROUND(IF(M10="押一",J6/12*M11,IF(M10="押二",J6/12*2*M11,IF(M10="押三",J6/12*3*M11,J11*M11))),0)</f>
        <v>0</v>
      </c>
      <c r="K10" s="2173" t="s">
        <v>1152</v>
      </c>
      <c r="L10" s="2186" t="s">
        <v>1153</v>
      </c>
      <c r="M10" s="2187"/>
    </row>
    <row r="11" s="2140" customFormat="1" ht="18" customHeight="1" spans="1:37">
      <c r="A11" s="2188"/>
      <c r="B11" s="2189" t="s">
        <v>1155</v>
      </c>
      <c r="C11" s="2190"/>
      <c r="D11" s="2179"/>
      <c r="E11" s="2186" t="s">
        <v>1156</v>
      </c>
      <c r="F11" s="2191">
        <f ca="1">'数据-取费表'!B31</f>
        <v>0.015</v>
      </c>
      <c r="G11" s="2192"/>
      <c r="H11" s="2193"/>
      <c r="I11" s="2189" t="s">
        <v>1157</v>
      </c>
      <c r="J11" s="2190"/>
      <c r="K11" s="2179"/>
      <c r="L11" s="2186" t="s">
        <v>1156</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1158</v>
      </c>
      <c r="C12" s="2196"/>
      <c r="D12" s="2197"/>
      <c r="E12" s="2198"/>
      <c r="F12" s="2199"/>
      <c r="G12" s="2165"/>
      <c r="H12" s="2194" t="s">
        <v>975</v>
      </c>
      <c r="I12" s="2195" t="s">
        <v>1158</v>
      </c>
      <c r="J12" s="2196"/>
      <c r="K12" s="2277"/>
      <c r="L12" s="2198"/>
      <c r="M12" s="2297"/>
    </row>
    <row r="13" s="2140" customFormat="1" ht="18" customHeight="1" spans="1:37">
      <c r="A13" s="2200">
        <v>2</v>
      </c>
      <c r="B13" s="2201" t="s">
        <v>1159</v>
      </c>
      <c r="C13" s="2202">
        <f ca="1">ROUND(C29*F13,0)</f>
        <v>2232575</v>
      </c>
      <c r="D13" s="2203" t="s">
        <v>1160</v>
      </c>
      <c r="E13" s="2203" t="s">
        <v>1161</v>
      </c>
      <c r="F13" s="2204">
        <f>'数据-取费表'!E20</f>
        <v>0.79</v>
      </c>
      <c r="G13" s="2192"/>
      <c r="H13" s="2200">
        <v>2</v>
      </c>
      <c r="I13" s="2201" t="s">
        <v>1159</v>
      </c>
      <c r="J13" s="2294">
        <f ca="1">ROUND(J14*J15,0)</f>
        <v>0</v>
      </c>
      <c r="K13" s="2224" t="s">
        <v>1160</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1162</v>
      </c>
      <c r="C14" s="2206">
        <f>IF(D1="仅计算典型户型",'数据-取费表'!F18,'数据-取费表'!E18)</f>
        <v>1932360</v>
      </c>
      <c r="D14" s="2207" t="s">
        <v>1163</v>
      </c>
      <c r="E14" s="2208"/>
      <c r="F14" s="2209"/>
      <c r="G14" s="2192"/>
      <c r="H14" s="2205" t="s">
        <v>973</v>
      </c>
      <c r="I14" s="2174" t="s">
        <v>1164</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1165</v>
      </c>
      <c r="E15" s="2210" t="s">
        <v>1166</v>
      </c>
      <c r="F15" s="2211">
        <f>'数据-取费表'!E21</f>
        <v>0.03</v>
      </c>
      <c r="G15" s="2165"/>
      <c r="H15" s="2212" t="s">
        <v>974</v>
      </c>
      <c r="I15" s="2198" t="s">
        <v>1161</v>
      </c>
      <c r="J15" s="2302">
        <f>'数据-取费表'!B40</f>
        <v>0</v>
      </c>
      <c r="K15" s="2303"/>
      <c r="L15" s="2304"/>
      <c r="M15" s="2305"/>
    </row>
    <row r="16" s="2140" customFormat="1" ht="18" customHeight="1" spans="1:37">
      <c r="A16" s="2205" t="s">
        <v>1001</v>
      </c>
      <c r="B16" s="2174" t="s">
        <v>988</v>
      </c>
      <c r="C16" s="1860">
        <f>ROUND(C14*F16,0)</f>
        <v>0</v>
      </c>
      <c r="D16" s="2174" t="s">
        <v>1165</v>
      </c>
      <c r="E16" s="2174" t="s">
        <v>1166</v>
      </c>
      <c r="F16" s="2213">
        <f>IF('数据-取费表'!B10="住宅",'数据-取费表'!E22,0)</f>
        <v>0</v>
      </c>
      <c r="G16" s="2192"/>
      <c r="H16" s="2200" t="s">
        <v>743</v>
      </c>
      <c r="I16" s="2201" t="s">
        <v>1167</v>
      </c>
      <c r="J16" s="2202">
        <f ca="1">ROUND(J17+J22+J23+J24,0)</f>
        <v>28260</v>
      </c>
      <c r="K16" s="2224" t="s">
        <v>1168</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1169</v>
      </c>
      <c r="B17" s="2174" t="s">
        <v>1170</v>
      </c>
      <c r="C17" s="1860">
        <f>ROUND(F17*IF(D1="仅计算典型户型",'数据-取费表'!E5,'数据-取费表'!B5),0)</f>
        <v>128824</v>
      </c>
      <c r="D17" s="2174" t="s">
        <v>1171</v>
      </c>
      <c r="E17" s="2174" t="s">
        <v>1172</v>
      </c>
      <c r="F17" s="2214">
        <f>'数据-取费表'!E23</f>
        <v>200</v>
      </c>
      <c r="G17" s="2192"/>
      <c r="H17" s="2205" t="s">
        <v>973</v>
      </c>
      <c r="I17" s="2174" t="s">
        <v>1173</v>
      </c>
      <c r="J17" s="2228">
        <f ca="1">ROUND(IF(AND(项目基本情况!B7="自然人",项目基本情况!B6="北京市"),J6*M17/(1+'数据-取费表'!F30),J18+J19+J20),0)</f>
        <v>0</v>
      </c>
      <c r="K17" s="2207" t="s">
        <v>1174</v>
      </c>
      <c r="L17" s="2229" t="s">
        <v>1175</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1176</v>
      </c>
      <c r="B18" s="2174" t="s">
        <v>994</v>
      </c>
      <c r="C18" s="1860">
        <f>ROUND(C14*F18,0)</f>
        <v>28985</v>
      </c>
      <c r="D18" s="2174" t="s">
        <v>1165</v>
      </c>
      <c r="E18" s="2174" t="s">
        <v>1166</v>
      </c>
      <c r="F18" s="2213">
        <f>'数据-取费表'!E24</f>
        <v>0.015</v>
      </c>
      <c r="G18" s="2165"/>
      <c r="H18" s="2205" t="s">
        <v>996</v>
      </c>
      <c r="I18" s="2174" t="s">
        <v>1177</v>
      </c>
      <c r="J18" s="1860" t="str">
        <f>IF(项目基本情况!B7="自然人","——",ROUND(J6*M18/(1+'数据-取费表'!F30),0))</f>
        <v>——</v>
      </c>
      <c r="K18" s="2229" t="s">
        <v>1178</v>
      </c>
      <c r="L18" s="2174" t="s">
        <v>1166</v>
      </c>
      <c r="M18" s="2213">
        <f>'数据-取费表'!E29</f>
        <v>0.055</v>
      </c>
    </row>
    <row r="19" s="2140" customFormat="1" ht="18" customHeight="1" spans="1:37">
      <c r="A19" s="2205" t="s">
        <v>973</v>
      </c>
      <c r="B19" s="2174" t="s">
        <v>1179</v>
      </c>
      <c r="C19" s="1860">
        <f>SUM(C14:C18)</f>
        <v>2148140</v>
      </c>
      <c r="D19" s="2215" t="s">
        <v>1180</v>
      </c>
      <c r="E19" s="1862"/>
      <c r="F19" s="2214"/>
      <c r="G19" s="2192"/>
      <c r="H19" s="2205" t="s">
        <v>998</v>
      </c>
      <c r="I19" s="2174" t="s">
        <v>1181</v>
      </c>
      <c r="J19" s="1860" t="str">
        <f ca="1">IF(项目基本情况!B7="自然人","——",IF(K19="按租金收入计税",ROUND(J6*M19/(1+'数据-取费表'!F30),0),ROUND(C29*M19*0.7,0)))</f>
        <v>——</v>
      </c>
      <c r="K19" s="2232"/>
      <c r="L19" s="2174" t="s">
        <v>1166</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1182</v>
      </c>
      <c r="C20" s="1860">
        <f>ROUND(C19*F20,0)</f>
        <v>42963</v>
      </c>
      <c r="D20" s="2216" t="s">
        <v>1183</v>
      </c>
      <c r="E20" s="2174" t="s">
        <v>1166</v>
      </c>
      <c r="F20" s="2213">
        <f>'数据-取费表'!E25</f>
        <v>0.02</v>
      </c>
      <c r="G20" s="2192"/>
      <c r="H20" s="2205" t="s">
        <v>1001</v>
      </c>
      <c r="I20" s="2173" t="s">
        <v>1184</v>
      </c>
      <c r="J20" s="2234" t="str">
        <f>IF(项目基本情况!B7="自然人","——",ROUND(M20*M21,0))</f>
        <v>——</v>
      </c>
      <c r="K20" s="2235" t="s">
        <v>1185</v>
      </c>
      <c r="L20" s="2174" t="s">
        <v>1186</v>
      </c>
      <c r="M20" s="2218">
        <f>'数据-取费表'!E40</f>
        <v>0</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1187</v>
      </c>
      <c r="C21" s="1931">
        <f>F21</f>
        <v>0.02</v>
      </c>
      <c r="D21" s="2216" t="s">
        <v>1188</v>
      </c>
      <c r="E21" s="2174" t="s">
        <v>1189</v>
      </c>
      <c r="F21" s="2213">
        <f>'数据-取费表'!E26</f>
        <v>0.02</v>
      </c>
      <c r="G21" s="2165"/>
      <c r="H21" s="2188"/>
      <c r="I21" s="2181"/>
      <c r="J21" s="1932"/>
      <c r="K21" s="467"/>
      <c r="L21" s="2174" t="s">
        <v>1190</v>
      </c>
      <c r="M21" s="2175">
        <f>IF(D1="仅计算典型户型",'数据-取费表'!E6,'数据-取费表'!B6)</f>
        <v>429.62</v>
      </c>
    </row>
    <row r="22" ht="18" customHeight="1" spans="1:13">
      <c r="A22" s="2205" t="s">
        <v>1012</v>
      </c>
      <c r="B22" s="2174" t="s">
        <v>1191</v>
      </c>
      <c r="C22" s="1860"/>
      <c r="D22" s="2215" t="str">
        <f>IF(F23&lt;=1,"单利计息。","复利计息。")&amp;"建造成本、管理费用、销售费用产生的利息。"</f>
        <v>复利计息。建造成本、管理费用、销售费用产生的利息。</v>
      </c>
      <c r="E22" s="1862"/>
      <c r="F22" s="2214"/>
      <c r="G22" s="2165"/>
      <c r="H22" s="2205" t="s">
        <v>974</v>
      </c>
      <c r="I22" s="2174" t="s">
        <v>1192</v>
      </c>
      <c r="J22" s="1860">
        <f ca="1">ROUND(J14*M22,0)</f>
        <v>28260</v>
      </c>
      <c r="K22" s="2229" t="s">
        <v>1193</v>
      </c>
      <c r="L22" s="2174" t="s">
        <v>1166</v>
      </c>
      <c r="M22" s="2238">
        <f>'数据-取费表'!B45</f>
        <v>0.01</v>
      </c>
    </row>
    <row r="23" ht="18" customHeight="1" spans="1:13">
      <c r="A23" s="2205" t="s">
        <v>996</v>
      </c>
      <c r="B23" s="2174" t="s">
        <v>1194</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1195</v>
      </c>
      <c r="F23" s="2218">
        <f>'数据-取费表'!B22</f>
        <v>2</v>
      </c>
      <c r="G23" s="2165"/>
      <c r="H23" s="2205" t="s">
        <v>975</v>
      </c>
      <c r="I23" s="2174" t="s">
        <v>1196</v>
      </c>
      <c r="J23" s="1860">
        <f ca="1">ROUND(J13*M23,0)</f>
        <v>0</v>
      </c>
      <c r="K23" s="2229" t="s">
        <v>1197</v>
      </c>
      <c r="L23" s="2174" t="s">
        <v>1166</v>
      </c>
      <c r="M23" s="2239">
        <f>'数据-取费表'!B46</f>
        <v>0.0015</v>
      </c>
    </row>
    <row r="24" s="2140" customFormat="1" ht="18" customHeight="1" spans="1:37">
      <c r="A24" s="2205" t="s">
        <v>998</v>
      </c>
      <c r="B24" s="2174" t="s">
        <v>1198</v>
      </c>
      <c r="C24" s="1860">
        <f ca="1">ROUND(IF('数据-取费表'!B24&lt;=1,F21*F24*F23/2,F21*(POWER((1+F24),F23/2)-1)),4)</f>
        <v>0.0008</v>
      </c>
      <c r="D24" s="2217" t="str">
        <f>IF(F23&lt;=1,"销售费用×利率×(建设周期÷2)","销售费用×((1+利率)^(建设周期÷2)-1)")</f>
        <v>销售费用×((1+利率)^(建设周期÷2)-1)</v>
      </c>
      <c r="E24" s="2174" t="s">
        <v>1199</v>
      </c>
      <c r="F24" s="2219">
        <f ca="1">'数据-取费表'!E27</f>
        <v>0.0415</v>
      </c>
      <c r="G24" s="2192"/>
      <c r="H24" s="2212" t="s">
        <v>1012</v>
      </c>
      <c r="I24" s="2198" t="s">
        <v>1182</v>
      </c>
      <c r="J24" s="2220">
        <f ca="1">ROUND(J5*M24,0)</f>
        <v>0</v>
      </c>
      <c r="K24" s="2221" t="s">
        <v>1200</v>
      </c>
      <c r="L24" s="2198" t="s">
        <v>1166</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1201</v>
      </c>
      <c r="C25" s="1860"/>
      <c r="D25" s="2215" t="s">
        <v>1202</v>
      </c>
      <c r="E25" s="1862"/>
      <c r="F25" s="2214"/>
      <c r="G25" s="2192"/>
      <c r="H25" s="2200" t="s">
        <v>746</v>
      </c>
      <c r="I25" s="2240" t="s">
        <v>1203</v>
      </c>
      <c r="J25" s="2202">
        <f ca="1">J5-J16</f>
        <v>-28260</v>
      </c>
      <c r="K25" s="2241" t="s">
        <v>1204</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1205</v>
      </c>
      <c r="C26" s="1860">
        <f>ROUND((C19+C20)*F26,0)</f>
        <v>328665</v>
      </c>
      <c r="D26" s="2216" t="s">
        <v>1206</v>
      </c>
      <c r="E26" s="2186" t="s">
        <v>1207</v>
      </c>
      <c r="F26" s="2182">
        <f>'数据-取费表'!E28</f>
        <v>0.15</v>
      </c>
      <c r="G26" s="2141"/>
      <c r="H26" s="2166" t="s">
        <v>772</v>
      </c>
      <c r="I26" s="2167" t="s">
        <v>1208</v>
      </c>
      <c r="J26" s="2168">
        <f ca="1">IF(J5&lt;&gt;0,ROUND(J25*(1-((1+M28)/(1+M26))^M27)/(M26-M28),0),0)</f>
        <v>0</v>
      </c>
      <c r="K26" s="2235" t="s">
        <v>1209</v>
      </c>
      <c r="L26" s="2174" t="s">
        <v>1210</v>
      </c>
      <c r="M26" s="2182">
        <f>'数据-取费表'!B16</f>
        <v>0.055</v>
      </c>
    </row>
    <row r="27" ht="18" customHeight="1" spans="1:13">
      <c r="A27" s="2205" t="s">
        <v>998</v>
      </c>
      <c r="B27" s="2174" t="s">
        <v>1211</v>
      </c>
      <c r="C27" s="1860">
        <f>ROUND(F21*F26,4)</f>
        <v>0.003</v>
      </c>
      <c r="D27" s="2216" t="s">
        <v>1212</v>
      </c>
      <c r="E27" s="2210"/>
      <c r="F27" s="2211"/>
      <c r="G27" s="2141"/>
      <c r="H27" s="2180"/>
      <c r="I27" s="2177"/>
      <c r="J27" s="2178"/>
      <c r="K27" s="2245" t="s">
        <v>1213</v>
      </c>
      <c r="L27" s="2174" t="s">
        <v>1214</v>
      </c>
      <c r="M27" s="2247" t="str">
        <f>'数据-取费表'!B41</f>
        <v>——</v>
      </c>
    </row>
    <row r="28" ht="18" customHeight="1" spans="1:13">
      <c r="A28" s="2205" t="s">
        <v>1022</v>
      </c>
      <c r="B28" s="2174" t="s">
        <v>1215</v>
      </c>
      <c r="C28" s="1860">
        <f>ROUND(F28/(1+'数据-取费表'!F30),4)</f>
        <v>0.0524</v>
      </c>
      <c r="D28" s="2216" t="s">
        <v>1216</v>
      </c>
      <c r="E28" s="2174" t="s">
        <v>1166</v>
      </c>
      <c r="F28" s="2213">
        <f>'数据-取费表'!E29</f>
        <v>0.055</v>
      </c>
      <c r="G28" s="2141"/>
      <c r="H28" s="2193"/>
      <c r="I28" s="2249"/>
      <c r="J28" s="2202"/>
      <c r="K28" s="467"/>
      <c r="L28" s="2174" t="s">
        <v>1217</v>
      </c>
      <c r="M28" s="2182">
        <f>'数据-取费表'!B38</f>
        <v>0</v>
      </c>
    </row>
    <row r="29" ht="18" customHeight="1" spans="1:13">
      <c r="A29" s="2212" t="s">
        <v>1027</v>
      </c>
      <c r="B29" s="2198" t="s">
        <v>1218</v>
      </c>
      <c r="C29" s="2220">
        <f ca="1">ROUND((C19+C20+C23+C26)/(1-F21-C24-C27-C28),0)</f>
        <v>2826044</v>
      </c>
      <c r="D29" s="2221"/>
      <c r="E29" s="2198"/>
      <c r="F29" s="2222"/>
      <c r="G29" s="2141"/>
      <c r="H29" s="2223" t="s">
        <v>1219</v>
      </c>
      <c r="I29" s="2250" t="s">
        <v>1220</v>
      </c>
      <c r="J29" s="2251">
        <f ca="1">ROUND(J26/(1+F40)^F41,0)</f>
        <v>0</v>
      </c>
      <c r="K29" s="2252" t="s">
        <v>1221</v>
      </c>
      <c r="L29" s="2253"/>
      <c r="M29" s="2254">
        <f>IF(D1="仅计算典型户型",'数据-取费表'!E5,'数据-取费表'!B5)</f>
        <v>644.12</v>
      </c>
    </row>
    <row r="30" ht="18" customHeight="1" spans="1:13">
      <c r="A30" s="2200" t="s">
        <v>743</v>
      </c>
      <c r="B30" s="2201" t="s">
        <v>1167</v>
      </c>
      <c r="C30" s="2202">
        <f ca="1">ROUND(C31+C36+C37+C38,0)</f>
        <v>223129</v>
      </c>
      <c r="D30" s="2224" t="s">
        <v>1168</v>
      </c>
      <c r="E30" s="2225"/>
      <c r="F30" s="2226"/>
      <c r="G30" s="2141"/>
      <c r="H30" s="2227"/>
      <c r="I30" s="2306"/>
      <c r="J30" s="2307"/>
      <c r="K30" s="2308"/>
      <c r="L30" s="2309"/>
      <c r="M30" s="2310"/>
    </row>
    <row r="31" ht="18" customHeight="1" spans="1:13">
      <c r="A31" s="2205" t="s">
        <v>973</v>
      </c>
      <c r="B31" s="2174" t="s">
        <v>1173</v>
      </c>
      <c r="C31" s="2228">
        <f ca="1">ROUND(IF(AND(项目基本情况!B7="自然人",项目基本情况!B6="北京市"),C6*F31/(1+'数据-取费表'!F30),C32+C33+C34),0)</f>
        <v>169275</v>
      </c>
      <c r="D31" s="2207" t="s">
        <v>1174</v>
      </c>
      <c r="E31" s="2229" t="s">
        <v>1175</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1177</v>
      </c>
      <c r="C32" s="1860" t="str">
        <f>IF(项目基本情况!B7="自然人","——",ROUND(C6*F32/(1+'数据-取费表'!F30),0))</f>
        <v>——</v>
      </c>
      <c r="D32" s="2229" t="s">
        <v>1178</v>
      </c>
      <c r="E32" s="2174" t="s">
        <v>1166</v>
      </c>
      <c r="F32" s="2219">
        <f>'数据-取费表'!E29</f>
        <v>0.055</v>
      </c>
      <c r="G32" s="2141"/>
      <c r="H32" s="2231"/>
      <c r="I32" s="2311"/>
      <c r="J32" s="2312"/>
      <c r="K32" s="2313"/>
      <c r="L32" s="2314"/>
      <c r="M32" s="2315"/>
    </row>
    <row r="33" ht="18" customHeight="1" spans="1:13">
      <c r="A33" s="2205" t="s">
        <v>998</v>
      </c>
      <c r="B33" s="2174" t="s">
        <v>1181</v>
      </c>
      <c r="C33" s="1860" t="str">
        <f ca="1">IF(项目基本情况!B7="自然人","——",IF(D33="按租金收入计税",ROUND(C6*F33/(1+'数据-取费表'!F30),0),IF(D33="按房产原值计税",ROUND(C29*F33*0.7,0),'数据-取费表'!B44)))</f>
        <v>——</v>
      </c>
      <c r="D33" s="2232" t="s">
        <v>1222</v>
      </c>
      <c r="E33" s="2174" t="s">
        <v>1166</v>
      </c>
      <c r="F33" s="2213">
        <f>IF(D33="按票据","——",IF(D33="按租金收入计税",'数据-取费表'!E39,'数据-取费表'!E38))</f>
        <v>0.12</v>
      </c>
      <c r="G33" s="2141"/>
      <c r="H33" s="2233"/>
      <c r="I33" s="2316" t="s">
        <v>1223</v>
      </c>
      <c r="J33" s="2317"/>
      <c r="K33" s="2318"/>
      <c r="L33" s="2233"/>
      <c r="M33" s="2233"/>
    </row>
    <row r="34" ht="18" customHeight="1" spans="1:13">
      <c r="A34" s="2171" t="s">
        <v>1001</v>
      </c>
      <c r="B34" s="2173" t="s">
        <v>1184</v>
      </c>
      <c r="C34" s="2234" t="str">
        <f>IF(项目基本情况!B7="自然人","——",ROUND(F34*F35,0))</f>
        <v>——</v>
      </c>
      <c r="D34" s="2235" t="s">
        <v>1185</v>
      </c>
      <c r="E34" s="2174" t="s">
        <v>1186</v>
      </c>
      <c r="F34" s="2218">
        <f>'数据-取费表'!E40</f>
        <v>0</v>
      </c>
      <c r="G34" s="2141"/>
      <c r="H34" s="2227"/>
      <c r="I34" s="1241" t="s">
        <v>1224</v>
      </c>
      <c r="J34" s="2319">
        <f ca="1">ROUND(C13*J35,0)</f>
        <v>156280</v>
      </c>
      <c r="K34" s="2320"/>
      <c r="L34" s="2321"/>
      <c r="M34" s="2321"/>
    </row>
    <row r="35" ht="24.6" customHeight="1" spans="1:13">
      <c r="A35" s="2236"/>
      <c r="B35" s="2181"/>
      <c r="C35" s="1932"/>
      <c r="D35" s="467"/>
      <c r="E35" s="2174" t="s">
        <v>1190</v>
      </c>
      <c r="F35" s="2175">
        <f>IF(D1="仅计算典型户型",'数据-取费表'!E6,'数据-取费表'!B6)</f>
        <v>429.62</v>
      </c>
      <c r="G35" s="2141" t="s">
        <v>1225</v>
      </c>
      <c r="H35" s="2227"/>
      <c r="I35" s="2322" t="s">
        <v>1226</v>
      </c>
      <c r="J35" s="2323">
        <f>'数据-取费表'!B18</f>
        <v>0.07</v>
      </c>
      <c r="K35" s="2318"/>
      <c r="L35" s="2233"/>
      <c r="M35" s="2233"/>
    </row>
    <row r="36" ht="18" customHeight="1" spans="1:13">
      <c r="A36" s="2237" t="s">
        <v>974</v>
      </c>
      <c r="B36" s="2174" t="s">
        <v>1192</v>
      </c>
      <c r="C36" s="1860">
        <f ca="1">ROUND(C29*F36,0)</f>
        <v>28260</v>
      </c>
      <c r="D36" s="2229" t="s">
        <v>1227</v>
      </c>
      <c r="E36" s="2174" t="s">
        <v>1166</v>
      </c>
      <c r="F36" s="2238">
        <f>'数据-取费表'!B45</f>
        <v>0.01</v>
      </c>
      <c r="G36" s="2141"/>
      <c r="H36" s="2233"/>
      <c r="I36" s="2324" t="s">
        <v>1228</v>
      </c>
      <c r="J36" s="2325"/>
      <c r="K36" s="2326"/>
      <c r="L36" s="2233"/>
      <c r="M36" s="2233"/>
    </row>
    <row r="37" ht="18" customHeight="1" spans="1:13">
      <c r="A37" s="2205" t="s">
        <v>975</v>
      </c>
      <c r="B37" s="2174" t="s">
        <v>1196</v>
      </c>
      <c r="C37" s="1860">
        <f ca="1">ROUND(C13*F37,0)</f>
        <v>3349</v>
      </c>
      <c r="D37" s="2229" t="s">
        <v>1197</v>
      </c>
      <c r="E37" s="2174" t="s">
        <v>1166</v>
      </c>
      <c r="F37" s="2239">
        <f>'数据-取费表'!B46</f>
        <v>0.0015</v>
      </c>
      <c r="G37" s="2141"/>
      <c r="H37" s="2233"/>
      <c r="I37" s="2327" t="s">
        <v>1229</v>
      </c>
      <c r="J37" s="2328"/>
      <c r="K37" s="2326"/>
      <c r="L37" s="2233"/>
      <c r="M37" s="2233"/>
    </row>
    <row r="38" ht="18" customHeight="1" spans="1:13">
      <c r="A38" s="2212" t="s">
        <v>1012</v>
      </c>
      <c r="B38" s="2198" t="s">
        <v>1182</v>
      </c>
      <c r="C38" s="2220">
        <f ca="1">ROUND(C5*F38,0)</f>
        <v>22245</v>
      </c>
      <c r="D38" s="2221" t="s">
        <v>1200</v>
      </c>
      <c r="E38" s="2198" t="s">
        <v>1166</v>
      </c>
      <c r="F38" s="2199">
        <f>'数据-取费表'!B47</f>
        <v>0.015</v>
      </c>
      <c r="G38" s="2141"/>
      <c r="H38" s="2233"/>
      <c r="I38" s="1241" t="s">
        <v>1230</v>
      </c>
      <c r="J38" s="2329">
        <f ca="1">ROUND(J34/C39,3)</f>
        <v>0.124</v>
      </c>
      <c r="K38" s="2330"/>
      <c r="L38" s="2233"/>
      <c r="M38" s="2233"/>
    </row>
    <row r="39" ht="18" customHeight="1" spans="1:13">
      <c r="A39" s="2200" t="s">
        <v>746</v>
      </c>
      <c r="B39" s="2240" t="s">
        <v>1203</v>
      </c>
      <c r="C39" s="2202">
        <f ca="1">C5-C30</f>
        <v>1259876</v>
      </c>
      <c r="D39" s="2241" t="s">
        <v>1204</v>
      </c>
      <c r="E39" s="2242"/>
      <c r="F39" s="2243"/>
      <c r="G39" s="2141"/>
      <c r="H39" s="2233"/>
      <c r="I39" s="1241" t="s">
        <v>1231</v>
      </c>
      <c r="J39" s="2329">
        <f ca="1">1-J38</f>
        <v>0.876</v>
      </c>
      <c r="K39" s="2330"/>
      <c r="L39" s="2233"/>
      <c r="M39" s="2233"/>
    </row>
    <row r="40" s="2141" customFormat="1" ht="18" customHeight="1" spans="1:17">
      <c r="A40" s="2166" t="s">
        <v>772</v>
      </c>
      <c r="B40" s="2167" t="s">
        <v>1232</v>
      </c>
      <c r="C40" s="2168">
        <f ca="1">ROUND(C39*(1-((1+F42)/(1+F40))^F41)/(F40-F42),0)</f>
        <v>20753645</v>
      </c>
      <c r="D40" s="2235" t="s">
        <v>1209</v>
      </c>
      <c r="E40" s="2174" t="s">
        <v>1210</v>
      </c>
      <c r="F40" s="2182">
        <f>'数据-取费表'!B16</f>
        <v>0.055</v>
      </c>
      <c r="H40" s="2244"/>
      <c r="I40" s="2327" t="s">
        <v>1233</v>
      </c>
      <c r="J40" s="2331"/>
      <c r="K40" s="2330"/>
      <c r="L40" s="2244"/>
      <c r="M40" s="2244"/>
      <c r="Q40" s="2144"/>
    </row>
    <row r="41" s="2141" customFormat="1" ht="18" customHeight="1" spans="1:17">
      <c r="A41" s="2180"/>
      <c r="B41" s="2177"/>
      <c r="C41" s="2178"/>
      <c r="D41" s="2245" t="s">
        <v>1213</v>
      </c>
      <c r="E41" s="2246" t="s">
        <v>1234</v>
      </c>
      <c r="F41" s="2247">
        <f>IF('数据-取费表'!B29="租赁期内按合同租金",'数据-取费表'!B35,IF(E41="收益年期(n)",'数据-取费表'!B34,'数据-取费表'!B13))</f>
        <v>22.13</v>
      </c>
      <c r="H41" s="2248"/>
      <c r="I41" s="2332" t="s">
        <v>965</v>
      </c>
      <c r="J41" s="2329">
        <f ca="1">ROUND(C13/C40,3)</f>
        <v>0.108</v>
      </c>
      <c r="K41" s="2326"/>
      <c r="L41" s="2248"/>
      <c r="M41" s="2248"/>
      <c r="Q41" s="2144"/>
    </row>
    <row r="42" s="2141" customFormat="1" ht="18" customHeight="1" spans="1:17">
      <c r="A42" s="2193"/>
      <c r="B42" s="2249"/>
      <c r="C42" s="2202"/>
      <c r="D42" s="467"/>
      <c r="E42" s="2174" t="s">
        <v>1217</v>
      </c>
      <c r="F42" s="2182">
        <f>'数据-取费表'!B32</f>
        <v>0.03</v>
      </c>
      <c r="H42" s="2248"/>
      <c r="I42" s="2332" t="s">
        <v>966</v>
      </c>
      <c r="J42" s="2333">
        <f ca="1">1-J41</f>
        <v>0.892</v>
      </c>
      <c r="K42" s="2326"/>
      <c r="L42" s="2248"/>
      <c r="M42" s="2248"/>
      <c r="Q42" s="2144"/>
    </row>
    <row r="43" s="2141" customFormat="1" ht="18" customHeight="1" spans="1:18">
      <c r="A43" s="2223" t="s">
        <v>1219</v>
      </c>
      <c r="B43" s="2250" t="s">
        <v>1235</v>
      </c>
      <c r="C43" s="2251">
        <f ca="1">ROUND(C40/F43,0)</f>
        <v>32220</v>
      </c>
      <c r="D43" s="2252" t="s">
        <v>1236</v>
      </c>
      <c r="E43" s="2253" t="s">
        <v>1237</v>
      </c>
      <c r="F43" s="2254">
        <f>IF(D1="仅计算典型户型",'数据-取费表'!E5,'数据-取费表'!B5)</f>
        <v>644.12</v>
      </c>
      <c r="G43" s="2255"/>
      <c r="H43" s="2248"/>
      <c r="I43" s="2248"/>
      <c r="J43" s="2248"/>
      <c r="K43" s="2326"/>
      <c r="L43" s="2248"/>
      <c r="M43" s="2248"/>
      <c r="O43" s="2334" t="s">
        <v>1238</v>
      </c>
      <c r="P43" s="2335"/>
      <c r="Q43" s="2350"/>
      <c r="R43" s="2335"/>
    </row>
    <row r="44" s="2141" customFormat="1" ht="18" customHeight="1" spans="1:18">
      <c r="A44" s="2256"/>
      <c r="B44" s="2256"/>
      <c r="C44" s="2257"/>
      <c r="D44" s="2256"/>
      <c r="E44" s="2256"/>
      <c r="F44" s="2256"/>
      <c r="G44" s="2255"/>
      <c r="K44" s="2336"/>
      <c r="O44" s="2337" t="s">
        <v>1239</v>
      </c>
      <c r="P44" s="2338" t="s">
        <v>1240</v>
      </c>
      <c r="Q44" s="2387" t="s">
        <v>1241</v>
      </c>
      <c r="R44" s="2388" t="s">
        <v>1242</v>
      </c>
    </row>
    <row r="45" s="2141" customFormat="1" ht="18" customHeight="1" spans="1:18">
      <c r="A45" s="2256"/>
      <c r="B45" s="2256"/>
      <c r="C45" s="2257"/>
      <c r="D45" s="2256"/>
      <c r="E45" s="2256"/>
      <c r="F45" s="2256"/>
      <c r="G45" s="2258"/>
      <c r="K45" s="2336"/>
      <c r="O45" s="2339" t="s">
        <v>982</v>
      </c>
      <c r="P45" s="2340" t="s">
        <v>1243</v>
      </c>
      <c r="Q45" s="2389">
        <f ca="1">C40+J29</f>
        <v>20753645</v>
      </c>
      <c r="R45" s="2390" t="s">
        <v>1244</v>
      </c>
    </row>
    <row r="46" s="2141" customFormat="1" ht="18" customHeight="1" spans="1:18">
      <c r="A46" s="2256"/>
      <c r="D46" s="2256"/>
      <c r="E46" s="2256"/>
      <c r="F46" s="2256"/>
      <c r="K46" s="2336"/>
      <c r="O46" s="2339" t="s">
        <v>984</v>
      </c>
      <c r="P46" s="2340" t="s">
        <v>1245</v>
      </c>
      <c r="Q46" s="2389" t="str">
        <f ca="1">J61</f>
        <v>0</v>
      </c>
      <c r="R46" s="2390" t="s">
        <v>1246</v>
      </c>
    </row>
    <row r="47" s="2141" customFormat="1" ht="21.15" spans="1:18">
      <c r="A47" s="2259" t="s">
        <v>1247</v>
      </c>
      <c r="C47" s="2260">
        <f ca="1">IF(C2="元",C69-C40,ROUND((C69-C40)/10000,0))</f>
        <v>-2115</v>
      </c>
      <c r="D47" s="2261" t="str">
        <f>C2</f>
        <v>万元</v>
      </c>
      <c r="E47" s="2256"/>
      <c r="F47" s="2256"/>
      <c r="I47" s="2341" t="s">
        <v>1248</v>
      </c>
      <c r="J47" s="2342"/>
      <c r="K47" s="2343"/>
      <c r="L47" s="2344" t="str">
        <f ca="1">IF(M48="住宅",0,IF(L49&gt;J52,L61,J61))</f>
        <v>0</v>
      </c>
      <c r="O47" s="2345" t="s">
        <v>1249</v>
      </c>
      <c r="P47" s="2340" t="s">
        <v>1250</v>
      </c>
      <c r="Q47" s="2389">
        <f ca="1">C29</f>
        <v>2826044</v>
      </c>
      <c r="R47" s="2390" t="s">
        <v>1244</v>
      </c>
    </row>
    <row r="48" s="2141" customFormat="1" ht="16.35" spans="1:18">
      <c r="A48" s="2161" t="s">
        <v>1136</v>
      </c>
      <c r="B48" s="2162" t="s">
        <v>1137</v>
      </c>
      <c r="C48" s="2162" t="s">
        <v>1138</v>
      </c>
      <c r="D48" s="2162" t="s">
        <v>1139</v>
      </c>
      <c r="E48" s="2262" t="s">
        <v>1140</v>
      </c>
      <c r="F48" s="2263"/>
      <c r="I48" s="2346" t="s">
        <v>1251</v>
      </c>
      <c r="J48" s="2347" t="s">
        <v>1252</v>
      </c>
      <c r="K48" s="2348" t="s">
        <v>1253</v>
      </c>
      <c r="L48" s="2349">
        <f>'数据-取费表'!B11</f>
        <v>40</v>
      </c>
      <c r="M48" s="2350" t="str">
        <f>IF('数据-取费表'!B10="住宅","住宅","非住宅")</f>
        <v>非住宅</v>
      </c>
      <c r="O48" s="2345" t="s">
        <v>1254</v>
      </c>
      <c r="P48" s="2340" t="s">
        <v>1255</v>
      </c>
      <c r="Q48" s="2391" t="e">
        <f>J59</f>
        <v>#VALUE!</v>
      </c>
      <c r="R48" s="2390"/>
    </row>
    <row r="49" s="2141" customFormat="1" ht="16.35" spans="1:18">
      <c r="A49" s="2264" t="s">
        <v>1256</v>
      </c>
      <c r="B49" s="2167" t="s">
        <v>1141</v>
      </c>
      <c r="C49" s="2265">
        <f ca="1">C50+C54+C56</f>
        <v>0</v>
      </c>
      <c r="D49" s="2266"/>
      <c r="E49" s="2267"/>
      <c r="F49" s="2214"/>
      <c r="I49" s="2351" t="s">
        <v>1257</v>
      </c>
      <c r="J49" s="2352" t="s">
        <v>1258</v>
      </c>
      <c r="K49" s="2353" t="s">
        <v>1259</v>
      </c>
      <c r="L49" s="2354">
        <f>'数据-取费表'!B13</f>
        <v>22.13</v>
      </c>
      <c r="O49" s="2345" t="s">
        <v>1260</v>
      </c>
      <c r="P49" s="2340" t="s">
        <v>1261</v>
      </c>
      <c r="Q49" s="2391">
        <f>J53</f>
        <v>0.075</v>
      </c>
      <c r="R49" s="2390"/>
    </row>
    <row r="50" s="2141" customFormat="1" ht="16.35" spans="1:18">
      <c r="A50" s="2268" t="s">
        <v>973</v>
      </c>
      <c r="B50" s="2172" t="s">
        <v>1262</v>
      </c>
      <c r="C50" s="2168">
        <f>ROUND(F50*F52*F51*(1-F53),0)</f>
        <v>0</v>
      </c>
      <c r="D50" s="2269" t="s">
        <v>1263</v>
      </c>
      <c r="E50" s="2270" t="s">
        <v>1264</v>
      </c>
      <c r="F50" s="2271"/>
      <c r="I50" s="2351" t="s">
        <v>1265</v>
      </c>
      <c r="J50" s="2354">
        <f>'数据-取费表'!B27</f>
        <v>2006</v>
      </c>
      <c r="K50" s="2355" t="s">
        <v>1266</v>
      </c>
      <c r="L50" s="2356"/>
      <c r="O50" s="2345" t="s">
        <v>1267</v>
      </c>
      <c r="P50" s="2340" t="s">
        <v>1268</v>
      </c>
      <c r="Q50" s="2389">
        <f>J54</f>
        <v>22.13</v>
      </c>
      <c r="R50" s="2390" t="s">
        <v>1269</v>
      </c>
    </row>
    <row r="51" s="2141" customFormat="1" ht="16.35" spans="1:18">
      <c r="A51" s="2180"/>
      <c r="B51" s="2177"/>
      <c r="C51" s="2178"/>
      <c r="D51" s="2179"/>
      <c r="E51" s="2210" t="s">
        <v>1147</v>
      </c>
      <c r="F51" s="2272">
        <f>F7</f>
        <v>644.12</v>
      </c>
      <c r="I51" s="2351" t="s">
        <v>1270</v>
      </c>
      <c r="J51" s="2357">
        <f>SUMPRODUCT((I64:I66=J48)*(J63:L63=J49)*(J64:L66))</f>
        <v>60</v>
      </c>
      <c r="K51" s="2355" t="s">
        <v>1271</v>
      </c>
      <c r="L51" s="2356"/>
      <c r="O51" s="2339" t="s">
        <v>987</v>
      </c>
      <c r="P51" s="2340" t="str">
        <f>IF(C2="元","收益价值(元)","收益价值(万元)")</f>
        <v>收益价值(万元)</v>
      </c>
      <c r="Q51" s="2389">
        <f ca="1">ROUND(IF(C2="元",Q45+Q46,(Q45+Q46)/10000),0)</f>
        <v>2075</v>
      </c>
      <c r="R51" s="2390" t="s">
        <v>1272</v>
      </c>
    </row>
    <row r="52" s="2141" customFormat="1" ht="16.35" spans="1:18">
      <c r="A52" s="2180"/>
      <c r="B52" s="2177"/>
      <c r="C52" s="2178"/>
      <c r="D52" s="2179"/>
      <c r="E52" s="2174" t="s">
        <v>1149</v>
      </c>
      <c r="F52" s="2175">
        <f>F8</f>
        <v>365</v>
      </c>
      <c r="I52" s="2358" t="s">
        <v>1273</v>
      </c>
      <c r="J52" s="2359">
        <f>IF(J50="",J51,J50+J51-YEAR('数据-取费表'!B2))</f>
        <v>44</v>
      </c>
      <c r="K52" s="2360" t="s">
        <v>1274</v>
      </c>
      <c r="L52" s="2361">
        <f ca="1">ROUND(-PV('数据-取费表'!B15,J52,(C40-C13*J35)),0)</f>
        <v>363806584</v>
      </c>
      <c r="O52" s="2334" t="s">
        <v>1275</v>
      </c>
      <c r="P52" s="2335"/>
      <c r="Q52" s="2350"/>
      <c r="R52" s="2335"/>
    </row>
    <row r="53" s="2141" customFormat="1" ht="16.35" spans="1:18">
      <c r="A53" s="2193"/>
      <c r="B53" s="2249"/>
      <c r="C53" s="2202"/>
      <c r="D53" s="2181"/>
      <c r="E53" s="2174" t="s">
        <v>1150</v>
      </c>
      <c r="F53" s="2273"/>
      <c r="I53" s="2362" t="s">
        <v>1276</v>
      </c>
      <c r="J53" s="2363">
        <v>0.075</v>
      </c>
      <c r="K53" s="2362" t="s">
        <v>1277</v>
      </c>
      <c r="L53" s="2363"/>
      <c r="O53" s="2337" t="s">
        <v>1239</v>
      </c>
      <c r="P53" s="2338" t="s">
        <v>1240</v>
      </c>
      <c r="Q53" s="2387" t="s">
        <v>1241</v>
      </c>
      <c r="R53" s="2388" t="s">
        <v>1242</v>
      </c>
    </row>
    <row r="54" s="2141" customFormat="1" ht="29.25" customHeight="1" spans="1:18">
      <c r="A54" s="2171" t="s">
        <v>974</v>
      </c>
      <c r="B54" s="2183" t="s">
        <v>1151</v>
      </c>
      <c r="C54" s="2184">
        <f ca="1">ROUND(IF(F54="押一",C50/12*F11,IF(F54="押二",C50/12*2*F11,IF(F54="押三",C50/12*3*F11,C55*F11))),0)</f>
        <v>0</v>
      </c>
      <c r="D54" s="2185" t="s">
        <v>1152</v>
      </c>
      <c r="E54" s="2186" t="s">
        <v>1153</v>
      </c>
      <c r="F54" s="2187"/>
      <c r="I54" s="2364" t="s">
        <v>1278</v>
      </c>
      <c r="J54" s="2365">
        <f>IF(M48="住宅",IF(E1="——",MAX(J52,L49),MAX(J52,L49-'数据-取费表'!B26)),IF(E1="——",MIN(J52,L49),MIN(J52,L49-'数据-取费表'!B26)))</f>
        <v>22.13</v>
      </c>
      <c r="K54" s="2366" t="s">
        <v>1279</v>
      </c>
      <c r="L54" s="2367"/>
      <c r="O54" s="2339" t="s">
        <v>982</v>
      </c>
      <c r="P54" s="2340" t="s">
        <v>1243</v>
      </c>
      <c r="Q54" s="2389">
        <f ca="1">C40+J29</f>
        <v>20753645</v>
      </c>
      <c r="R54" s="2390" t="s">
        <v>1244</v>
      </c>
    </row>
    <row r="55" s="2141" customFormat="1" ht="19.95" spans="1:18">
      <c r="A55" s="2171"/>
      <c r="B55" s="2274" t="s">
        <v>1157</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1280</v>
      </c>
      <c r="Q55" s="2389">
        <f ca="1">L61</f>
        <v>0</v>
      </c>
      <c r="R55" s="2390" t="s">
        <v>1281</v>
      </c>
    </row>
    <row r="56" s="2141" customFormat="1" ht="19.95" spans="1:18">
      <c r="A56" s="2194" t="s">
        <v>975</v>
      </c>
      <c r="B56" s="2195" t="s">
        <v>1158</v>
      </c>
      <c r="C56" s="2196"/>
      <c r="D56" s="2277"/>
      <c r="E56" s="2278"/>
      <c r="F56" s="2279"/>
      <c r="I56" s="2369" t="s">
        <v>1282</v>
      </c>
      <c r="J56" s="2370" t="e">
        <f>ROUND(IF(J48="钢混",J58/J51,1-(1-2%)*(J51-J58)/J51),3)</f>
        <v>#VALUE!</v>
      </c>
      <c r="K56" s="2371" t="s">
        <v>1283</v>
      </c>
      <c r="L56" s="2372"/>
      <c r="O56" s="2345" t="s">
        <v>1249</v>
      </c>
      <c r="P56" s="2340" t="s">
        <v>1284</v>
      </c>
      <c r="Q56" s="2389">
        <f>IF(L56="比较法",L50,IF(L56="基准地价",L51,0))</f>
        <v>0</v>
      </c>
      <c r="R56" s="2390" t="s">
        <v>1244</v>
      </c>
    </row>
    <row r="57" s="2141" customFormat="1" ht="48.3" spans="1:18">
      <c r="A57" s="2200">
        <v>2</v>
      </c>
      <c r="B57" s="2201" t="s">
        <v>1159</v>
      </c>
      <c r="C57" s="2280">
        <f ca="1">C13</f>
        <v>2232575</v>
      </c>
      <c r="D57" s="2281"/>
      <c r="E57" s="2282"/>
      <c r="F57" s="2283"/>
      <c r="I57" s="2373" t="s">
        <v>1285</v>
      </c>
      <c r="J57" s="2374" t="s">
        <v>1286</v>
      </c>
      <c r="K57" s="2351" t="s">
        <v>1287</v>
      </c>
      <c r="L57" s="2354" t="str">
        <f>IF(L49&lt;J52,"——",L49-J52)</f>
        <v>——</v>
      </c>
      <c r="O57" s="2345" t="s">
        <v>1254</v>
      </c>
      <c r="P57" s="2340" t="s">
        <v>1288</v>
      </c>
      <c r="Q57" s="2391">
        <f>L53</f>
        <v>0</v>
      </c>
      <c r="R57" s="2390"/>
    </row>
    <row r="58" s="2141" customFormat="1" ht="31.95" spans="1:18">
      <c r="A58" s="2284"/>
      <c r="B58" s="2174" t="s">
        <v>1218</v>
      </c>
      <c r="C58" s="2285">
        <f ca="1">C29</f>
        <v>2826044</v>
      </c>
      <c r="D58" s="2281"/>
      <c r="E58" s="2282"/>
      <c r="F58" s="2283"/>
      <c r="I58" s="2375" t="s">
        <v>1289</v>
      </c>
      <c r="J58" s="2376" t="str">
        <f>IF(OR(M48="住宅",J52&lt;L49,J57="是"),"——",J52-L49)</f>
        <v>——</v>
      </c>
      <c r="K58" s="2351" t="s">
        <v>1290</v>
      </c>
      <c r="L58" s="2354" t="str">
        <f ca="1">IF(L49&lt;J52,"——",IF(L56="比较法",L50,IF(L56="基准地价",L51,L52)))</f>
        <v>——</v>
      </c>
      <c r="O58" s="2345" t="s">
        <v>1260</v>
      </c>
      <c r="P58" s="2340" t="s">
        <v>1291</v>
      </c>
      <c r="Q58" s="2389" t="e">
        <f>L59</f>
        <v>#DIV/0!</v>
      </c>
      <c r="R58" s="2390" t="s">
        <v>1292</v>
      </c>
    </row>
    <row r="59" s="2141" customFormat="1" ht="31.95" spans="1:18">
      <c r="A59" s="2286" t="s">
        <v>743</v>
      </c>
      <c r="B59" s="2287" t="s">
        <v>1167</v>
      </c>
      <c r="C59" s="1813">
        <f ca="1">ROUND(C60+C65+C66+C67,0)</f>
        <v>31609</v>
      </c>
      <c r="D59" s="2288" t="s">
        <v>1168</v>
      </c>
      <c r="E59" s="1862"/>
      <c r="F59" s="2214"/>
      <c r="I59" s="2375" t="s">
        <v>1293</v>
      </c>
      <c r="J59" s="2377" t="e">
        <f>IF(J56&lt;0.4,0.4,J56)</f>
        <v>#VALUE!</v>
      </c>
      <c r="K59" s="2360" t="s">
        <v>1294</v>
      </c>
      <c r="L59" s="2354" t="e">
        <f>ROUND(POWER(1+L53,L48-L49)*(POWER(1+L53,L49)-1)/(POWER(1+L53,L48)-1),4)</f>
        <v>#DIV/0!</v>
      </c>
      <c r="O59" s="2345" t="s">
        <v>1267</v>
      </c>
      <c r="P59" s="2340" t="str">
        <f>K60</f>
        <v>建筑物剩余耐用年限下的土地年期修正系数Kn</v>
      </c>
      <c r="Q59" s="2389" t="e">
        <f>L60</f>
        <v>#DIV/0!</v>
      </c>
      <c r="R59" s="2390" t="s">
        <v>1295</v>
      </c>
    </row>
    <row r="60" s="2141" customFormat="1" ht="31.95" spans="1:18">
      <c r="A60" s="2205" t="s">
        <v>1296</v>
      </c>
      <c r="B60" s="2174" t="s">
        <v>1173</v>
      </c>
      <c r="C60" s="2228">
        <f ca="1">ROUND(IF(AND(项目基本情况!B7="自然人",项目基本情况!B6="北京市"),C50*F60/(1+'数据-取费表'!F30),C61+C62+C63),0)</f>
        <v>0</v>
      </c>
      <c r="D60" s="2207" t="s">
        <v>1174</v>
      </c>
      <c r="E60" s="2229" t="s">
        <v>1175</v>
      </c>
      <c r="F60" s="2230">
        <f>IF(项目基本情况!B7="企业","——",IF('数据-取费表'!B10="住宅",IF(F50*F51*F52/12/(1+'数据-取费表'!F30)&gt;100000,4%,2.5%),IF(F50*F51*F52/12/(1+'数据-取费表'!F30)&gt;100000,12%,7%)))</f>
        <v>0.07</v>
      </c>
      <c r="I60" s="2375" t="s">
        <v>1297</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2075</v>
      </c>
      <c r="R60" s="2390" t="s">
        <v>1272</v>
      </c>
    </row>
    <row r="61" s="2141" customFormat="1" ht="16.35" spans="1:18">
      <c r="A61" s="2205" t="s">
        <v>1298</v>
      </c>
      <c r="B61" s="2174" t="s">
        <v>1177</v>
      </c>
      <c r="C61" s="1860" t="str">
        <f ca="1">IF(项目基本情况!B7="自然人","——",ROUND(C49*F61/(1+'数据-取费表'!F30),0))</f>
        <v>——</v>
      </c>
      <c r="D61" s="2229" t="s">
        <v>1299</v>
      </c>
      <c r="E61" s="2174" t="s">
        <v>1166</v>
      </c>
      <c r="F61" s="2219">
        <f t="shared" ref="F61:F67" si="0">F32</f>
        <v>0.055</v>
      </c>
      <c r="I61" s="2378" t="s">
        <v>1300</v>
      </c>
      <c r="J61" s="2379" t="str">
        <f ca="1">IF(OR(M48="住宅",J52&lt;L49,J57="是"),"0",ROUND(J60/(1+J53)^J54,0))</f>
        <v>0</v>
      </c>
      <c r="K61" s="2380" t="s">
        <v>1301</v>
      </c>
      <c r="L61" s="2379">
        <f ca="1">IF(OR(M48="住宅",L49&lt;J52),0,ROUND(L58*(L59/L60-1),0))</f>
        <v>0</v>
      </c>
      <c r="O61" s="2334" t="s">
        <v>1302</v>
      </c>
      <c r="P61" s="2335"/>
      <c r="Q61" s="2350"/>
      <c r="R61" s="2335"/>
    </row>
    <row r="62" s="2141" customFormat="1" ht="16.35" spans="1:18">
      <c r="A62" s="2205" t="s">
        <v>1303</v>
      </c>
      <c r="B62" s="2174" t="s">
        <v>1181</v>
      </c>
      <c r="C62" s="1860" t="str">
        <f ca="1">IF(项目基本情况!B7="自然人","——",IF(D62="按租金收入计税",ROUND(C50*F62/(1+'数据-取费表'!F30),0),IF(D62="按房产原值计税",ROUND(C58*F62*0.7,0),'数据-取费表'!B44)))</f>
        <v>——</v>
      </c>
      <c r="D62" s="2232" t="s">
        <v>1304</v>
      </c>
      <c r="E62" s="2174" t="s">
        <v>1166</v>
      </c>
      <c r="F62" s="2213">
        <f t="shared" si="0"/>
        <v>0.12</v>
      </c>
      <c r="O62" s="2337" t="s">
        <v>1239</v>
      </c>
      <c r="P62" s="2338" t="s">
        <v>1240</v>
      </c>
      <c r="Q62" s="2387" t="s">
        <v>1241</v>
      </c>
      <c r="R62" s="2388" t="s">
        <v>1242</v>
      </c>
    </row>
    <row r="63" s="2141" customFormat="1" ht="16.35" spans="1:18">
      <c r="A63" s="2268" t="s">
        <v>1305</v>
      </c>
      <c r="B63" s="2173" t="s">
        <v>1184</v>
      </c>
      <c r="C63" s="2234" t="str">
        <f>IF(项目基本情况!B7="自然人","——",ROUND(F63*F64,0))</f>
        <v>——</v>
      </c>
      <c r="D63" s="2235" t="s">
        <v>1185</v>
      </c>
      <c r="E63" s="2174" t="s">
        <v>1186</v>
      </c>
      <c r="F63" s="2218">
        <f t="shared" si="0"/>
        <v>0</v>
      </c>
      <c r="I63" s="2381" t="s">
        <v>1306</v>
      </c>
      <c r="J63" s="2382" t="s">
        <v>1307</v>
      </c>
      <c r="K63" s="2382" t="s">
        <v>1308</v>
      </c>
      <c r="L63" s="2382" t="s">
        <v>1309</v>
      </c>
      <c r="M63" s="2383" t="s">
        <v>1310</v>
      </c>
      <c r="O63" s="2339" t="s">
        <v>982</v>
      </c>
      <c r="P63" s="2340" t="s">
        <v>1243</v>
      </c>
      <c r="Q63" s="2389">
        <f ca="1">C40+J29</f>
        <v>20753645</v>
      </c>
      <c r="R63" s="2390" t="s">
        <v>1244</v>
      </c>
    </row>
    <row r="64" s="2141" customFormat="1" ht="19.95" spans="1:18">
      <c r="A64" s="2188"/>
      <c r="B64" s="2181"/>
      <c r="C64" s="1932"/>
      <c r="D64" s="467"/>
      <c r="E64" s="2174" t="s">
        <v>1190</v>
      </c>
      <c r="F64" s="2175">
        <f t="shared" si="0"/>
        <v>429.62</v>
      </c>
      <c r="I64" s="2381" t="s">
        <v>1311</v>
      </c>
      <c r="J64" s="2382">
        <v>70</v>
      </c>
      <c r="K64" s="2382">
        <v>50</v>
      </c>
      <c r="L64" s="2382">
        <v>80</v>
      </c>
      <c r="M64" s="2384">
        <v>0.02</v>
      </c>
      <c r="O64" s="2339" t="s">
        <v>984</v>
      </c>
      <c r="P64" s="2340" t="s">
        <v>1280</v>
      </c>
      <c r="Q64" s="2389">
        <f ca="1">L61</f>
        <v>0</v>
      </c>
      <c r="R64" s="2390" t="s">
        <v>1281</v>
      </c>
    </row>
    <row r="65" s="2141" customFormat="1" ht="22.95" spans="1:18">
      <c r="A65" s="2205" t="s">
        <v>1312</v>
      </c>
      <c r="B65" s="2174" t="s">
        <v>1192</v>
      </c>
      <c r="C65" s="1860">
        <f ca="1">ROUND(C58*F65,0)</f>
        <v>28260</v>
      </c>
      <c r="D65" s="2229" t="s">
        <v>1227</v>
      </c>
      <c r="E65" s="2174" t="s">
        <v>1166</v>
      </c>
      <c r="F65" s="2238">
        <f t="shared" si="0"/>
        <v>0.01</v>
      </c>
      <c r="I65" s="2381" t="s">
        <v>1313</v>
      </c>
      <c r="J65" s="2382">
        <v>50</v>
      </c>
      <c r="K65" s="2382">
        <v>35</v>
      </c>
      <c r="L65" s="2382">
        <v>60</v>
      </c>
      <c r="M65" s="2383">
        <v>0</v>
      </c>
      <c r="O65" s="2345" t="s">
        <v>1249</v>
      </c>
      <c r="P65" s="2340" t="s">
        <v>1284</v>
      </c>
      <c r="Q65" s="2396">
        <f ca="1">L52</f>
        <v>363806584</v>
      </c>
      <c r="R65" s="2397" t="s">
        <v>1314</v>
      </c>
    </row>
    <row r="66" s="2141" customFormat="1" ht="19.95" spans="1:18">
      <c r="A66" s="2205" t="s">
        <v>1315</v>
      </c>
      <c r="B66" s="2174" t="s">
        <v>1196</v>
      </c>
      <c r="C66" s="1860">
        <f ca="1">ROUND(C57*F66,0)</f>
        <v>3349</v>
      </c>
      <c r="D66" s="2229" t="s">
        <v>1197</v>
      </c>
      <c r="E66" s="2174" t="s">
        <v>1166</v>
      </c>
      <c r="F66" s="2239">
        <f t="shared" si="0"/>
        <v>0.0015</v>
      </c>
      <c r="I66" s="2381" t="s">
        <v>1316</v>
      </c>
      <c r="J66" s="2382">
        <v>40</v>
      </c>
      <c r="K66" s="2382">
        <v>30</v>
      </c>
      <c r="L66" s="2382">
        <v>50</v>
      </c>
      <c r="M66" s="2384">
        <v>0.02</v>
      </c>
      <c r="O66" s="2345" t="s">
        <v>1254</v>
      </c>
      <c r="P66" s="2395" t="s">
        <v>1317</v>
      </c>
      <c r="Q66" s="2389">
        <f ca="1">ROUND(Q67-Q68*Q69,0)</f>
        <v>1103596</v>
      </c>
      <c r="R66" s="2390"/>
    </row>
    <row r="67" s="2141" customFormat="1" ht="16.35" spans="1:18">
      <c r="A67" s="2205" t="s">
        <v>1318</v>
      </c>
      <c r="B67" s="2174" t="s">
        <v>1182</v>
      </c>
      <c r="C67" s="1860">
        <f ca="1">ROUND(C49*F67,0)</f>
        <v>0</v>
      </c>
      <c r="D67" s="2229" t="s">
        <v>1200</v>
      </c>
      <c r="E67" s="2174" t="s">
        <v>1166</v>
      </c>
      <c r="F67" s="2182">
        <f t="shared" si="0"/>
        <v>0.015</v>
      </c>
      <c r="O67" s="2345" t="s">
        <v>1319</v>
      </c>
      <c r="P67" s="2395" t="s">
        <v>1320</v>
      </c>
      <c r="Q67" s="2389">
        <f ca="1">C39</f>
        <v>1259876</v>
      </c>
      <c r="R67" s="2390" t="s">
        <v>1244</v>
      </c>
    </row>
    <row r="68" ht="24.75" spans="1:18">
      <c r="A68" s="2286" t="s">
        <v>746</v>
      </c>
      <c r="B68" s="2392" t="s">
        <v>1203</v>
      </c>
      <c r="C68" s="1813">
        <f ca="1">C49-C59</f>
        <v>-31609</v>
      </c>
      <c r="D68" s="2207" t="s">
        <v>1204</v>
      </c>
      <c r="E68" s="2393"/>
      <c r="F68" s="2394"/>
      <c r="H68" s="2141"/>
      <c r="I68" s="2141"/>
      <c r="J68" s="2141"/>
      <c r="K68" s="2141"/>
      <c r="L68" s="2141"/>
      <c r="M68" s="2141"/>
      <c r="O68" s="2345" t="s">
        <v>1321</v>
      </c>
      <c r="P68" s="2395" t="s">
        <v>1322</v>
      </c>
      <c r="Q68" s="2389">
        <f ca="1">C13</f>
        <v>2232575</v>
      </c>
      <c r="R68" s="2390" t="s">
        <v>1244</v>
      </c>
    </row>
    <row r="69" ht="16.35" spans="1:18">
      <c r="A69" s="2166" t="s">
        <v>772</v>
      </c>
      <c r="B69" s="2167" t="s">
        <v>1232</v>
      </c>
      <c r="C69" s="2168">
        <f ca="1">ROUND(C68*(1-((1+F71)/(1+F69))^F70)/(F69-F71),0)</f>
        <v>-398969</v>
      </c>
      <c r="D69" s="2235" t="s">
        <v>1209</v>
      </c>
      <c r="E69" s="2174" t="s">
        <v>1210</v>
      </c>
      <c r="F69" s="2182">
        <f>F40</f>
        <v>0.055</v>
      </c>
      <c r="H69" s="2141"/>
      <c r="I69" s="2141"/>
      <c r="J69" s="2141"/>
      <c r="K69" s="2141"/>
      <c r="L69" s="2141"/>
      <c r="M69" s="2141"/>
      <c r="O69" s="2345" t="s">
        <v>1323</v>
      </c>
      <c r="P69" s="2395" t="s">
        <v>1324</v>
      </c>
      <c r="Q69" s="2391">
        <f>J35</f>
        <v>0.07</v>
      </c>
      <c r="R69" s="2390"/>
    </row>
    <row r="70" ht="16.35" spans="1:18">
      <c r="A70" s="2180"/>
      <c r="B70" s="2177"/>
      <c r="C70" s="2178"/>
      <c r="D70" s="2245" t="s">
        <v>1213</v>
      </c>
      <c r="E70" s="2174" t="s">
        <v>1214</v>
      </c>
      <c r="F70" s="2247">
        <f>F41</f>
        <v>22.13</v>
      </c>
      <c r="H70" s="2141"/>
      <c r="I70" s="2141"/>
      <c r="J70" s="2141"/>
      <c r="K70" s="2141"/>
      <c r="L70" s="2141"/>
      <c r="M70" s="2141"/>
      <c r="O70" s="2345" t="s">
        <v>1260</v>
      </c>
      <c r="P70" s="2340" t="s">
        <v>1288</v>
      </c>
      <c r="Q70" s="2391">
        <f>L53</f>
        <v>0</v>
      </c>
      <c r="R70" s="2390"/>
    </row>
    <row r="71" ht="19.95" spans="1:18">
      <c r="A71" s="2193"/>
      <c r="B71" s="2249"/>
      <c r="C71" s="2202"/>
      <c r="D71" s="467"/>
      <c r="E71" s="2174" t="s">
        <v>1217</v>
      </c>
      <c r="F71" s="2273"/>
      <c r="H71" s="2141"/>
      <c r="M71" s="2141"/>
      <c r="O71" s="2345" t="s">
        <v>1267</v>
      </c>
      <c r="P71" s="2340" t="s">
        <v>1291</v>
      </c>
      <c r="Q71" s="2389" t="e">
        <f>L59</f>
        <v>#DIV/0!</v>
      </c>
      <c r="R71" s="2390" t="s">
        <v>1292</v>
      </c>
    </row>
    <row r="72" ht="16.35" spans="1:18">
      <c r="A72" s="2223" t="s">
        <v>1219</v>
      </c>
      <c r="B72" s="2250" t="s">
        <v>1235</v>
      </c>
      <c r="C72" s="2251">
        <f ca="1">ROUND(C69/F72,0)</f>
        <v>-619</v>
      </c>
      <c r="D72" s="2252" t="s">
        <v>1236</v>
      </c>
      <c r="E72" s="2253" t="s">
        <v>1237</v>
      </c>
      <c r="F72" s="2254">
        <f>F43</f>
        <v>644.12</v>
      </c>
      <c r="O72" s="2345" t="s">
        <v>1325</v>
      </c>
      <c r="P72" s="2340" t="str">
        <f>K60</f>
        <v>建筑物剩余耐用年限下的土地年期修正系数Kn</v>
      </c>
      <c r="Q72" s="2389" t="e">
        <f>L60</f>
        <v>#DIV/0!</v>
      </c>
      <c r="R72" s="2390" t="s">
        <v>1295</v>
      </c>
    </row>
    <row r="73" ht="15.75" spans="1:18">
      <c r="A73" s="2141"/>
      <c r="B73" s="2144"/>
      <c r="C73" s="2144"/>
      <c r="D73" s="2141"/>
      <c r="E73" s="2141"/>
      <c r="F73" s="2141"/>
      <c r="O73" s="2339" t="s">
        <v>987</v>
      </c>
      <c r="P73" s="2340" t="str">
        <f>IF(C2="元","收益价值(元)","收益价值(万元)")</f>
        <v>收益价值(万元)</v>
      </c>
      <c r="Q73" s="2389">
        <f ca="1">ROUND(IF(C2="元",Q63+Q64,(Q63+Q64)/10000),0)</f>
        <v>2075</v>
      </c>
      <c r="R73" s="2390" t="s">
        <v>1272</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45" customWidth="1"/>
    <col min="2" max="2" width="8.87962962962963" style="1945"/>
    <col min="3" max="5" width="12.8796296296296" style="1945" customWidth="1"/>
    <col min="6" max="6" width="47.5" style="1945" customWidth="1"/>
    <col min="7" max="7" width="13" style="1946" customWidth="1"/>
    <col min="8" max="8" width="8.87962962962963" style="1947"/>
    <col min="9" max="9" width="8.87962962962963" style="1948"/>
    <col min="10" max="10" width="5.75" style="1949" customWidth="1"/>
    <col min="11" max="11" width="11.75" style="1949" customWidth="1"/>
    <col min="12" max="13" width="10.75" style="1949" customWidth="1"/>
    <col min="14" max="14" width="10" style="1949" customWidth="1"/>
    <col min="15" max="16" width="10.5" style="1949" customWidth="1"/>
    <col min="17" max="17" width="10" style="1949" customWidth="1"/>
    <col min="18" max="18" width="10.1296296296296" style="1949" customWidth="1"/>
    <col min="19" max="19" width="10" style="1949" customWidth="1"/>
    <col min="20" max="20" width="26.1296296296296" style="1949" customWidth="1"/>
    <col min="21" max="21" width="8.87962962962963" style="1949"/>
    <col min="22" max="22" width="8.87962962962963" style="1948"/>
    <col min="23" max="23" width="8.87962962962963" style="1947"/>
    <col min="24" max="256" width="8.87962962962963" style="1945"/>
    <col min="257" max="257" width="9.5" style="1945" customWidth="1"/>
    <col min="258" max="258" width="8.87962962962963" style="1945"/>
    <col min="259" max="261" width="12.8796296296296" style="1945" customWidth="1"/>
    <col min="262" max="262" width="47.5" style="1945" customWidth="1"/>
    <col min="263" max="263" width="13" style="1945" customWidth="1"/>
    <col min="264" max="265" width="8.87962962962963" style="1945"/>
    <col min="266" max="266" width="5.75" style="1945" customWidth="1"/>
    <col min="267" max="267" width="11.75" style="1945" customWidth="1"/>
    <col min="268" max="269" width="10.75" style="1945" customWidth="1"/>
    <col min="270" max="270" width="10" style="1945" customWidth="1"/>
    <col min="271" max="272" width="10.5" style="1945" customWidth="1"/>
    <col min="273" max="273" width="10" style="1945" customWidth="1"/>
    <col min="274" max="274" width="10.1296296296296" style="1945" customWidth="1"/>
    <col min="275" max="275" width="10" style="1945" customWidth="1"/>
    <col min="276" max="276" width="26.1296296296296" style="1945" customWidth="1"/>
    <col min="277" max="512" width="8.87962962962963" style="1945"/>
    <col min="513" max="513" width="9.5" style="1945" customWidth="1"/>
    <col min="514" max="514" width="8.87962962962963" style="1945"/>
    <col min="515" max="517" width="12.8796296296296" style="1945" customWidth="1"/>
    <col min="518" max="518" width="47.5" style="1945" customWidth="1"/>
    <col min="519" max="519" width="13" style="1945" customWidth="1"/>
    <col min="520" max="521" width="8.87962962962963" style="1945"/>
    <col min="522" max="522" width="5.75" style="1945" customWidth="1"/>
    <col min="523" max="523" width="11.75" style="1945" customWidth="1"/>
    <col min="524" max="525" width="10.75" style="1945" customWidth="1"/>
    <col min="526" max="526" width="10" style="1945" customWidth="1"/>
    <col min="527" max="528" width="10.5" style="1945" customWidth="1"/>
    <col min="529" max="529" width="10" style="1945" customWidth="1"/>
    <col min="530" max="530" width="10.1296296296296" style="1945" customWidth="1"/>
    <col min="531" max="531" width="10" style="1945" customWidth="1"/>
    <col min="532" max="532" width="26.1296296296296" style="1945" customWidth="1"/>
    <col min="533" max="768" width="8.87962962962963" style="1945"/>
    <col min="769" max="769" width="9.5" style="1945" customWidth="1"/>
    <col min="770" max="770" width="8.87962962962963" style="1945"/>
    <col min="771" max="773" width="12.8796296296296" style="1945" customWidth="1"/>
    <col min="774" max="774" width="47.5" style="1945" customWidth="1"/>
    <col min="775" max="775" width="13" style="1945" customWidth="1"/>
    <col min="776" max="777" width="8.87962962962963" style="1945"/>
    <col min="778" max="778" width="5.75" style="1945" customWidth="1"/>
    <col min="779" max="779" width="11.75" style="1945" customWidth="1"/>
    <col min="780" max="781" width="10.75" style="1945" customWidth="1"/>
    <col min="782" max="782" width="10" style="1945" customWidth="1"/>
    <col min="783" max="784" width="10.5" style="1945" customWidth="1"/>
    <col min="785" max="785" width="10" style="1945" customWidth="1"/>
    <col min="786" max="786" width="10.1296296296296" style="1945" customWidth="1"/>
    <col min="787" max="787" width="10" style="1945" customWidth="1"/>
    <col min="788" max="788" width="26.1296296296296" style="1945" customWidth="1"/>
    <col min="789" max="1024" width="8.87962962962963" style="1945"/>
    <col min="1025" max="1025" width="9.5" style="1945" customWidth="1"/>
    <col min="1026" max="1026" width="8.87962962962963" style="1945"/>
    <col min="1027" max="1029" width="12.8796296296296" style="1945" customWidth="1"/>
    <col min="1030" max="1030" width="47.5" style="1945" customWidth="1"/>
    <col min="1031" max="1031" width="13" style="1945" customWidth="1"/>
    <col min="1032" max="1033" width="8.87962962962963" style="1945"/>
    <col min="1034" max="1034" width="5.75" style="1945" customWidth="1"/>
    <col min="1035" max="1035" width="11.75" style="1945" customWidth="1"/>
    <col min="1036" max="1037" width="10.75" style="1945" customWidth="1"/>
    <col min="1038" max="1038" width="10" style="1945" customWidth="1"/>
    <col min="1039" max="1040" width="10.5" style="1945" customWidth="1"/>
    <col min="1041" max="1041" width="10" style="1945" customWidth="1"/>
    <col min="1042" max="1042" width="10.1296296296296" style="1945" customWidth="1"/>
    <col min="1043" max="1043" width="10" style="1945" customWidth="1"/>
    <col min="1044" max="1044" width="26.1296296296296" style="1945" customWidth="1"/>
    <col min="1045" max="1280" width="8.87962962962963" style="1945"/>
    <col min="1281" max="1281" width="9.5" style="1945" customWidth="1"/>
    <col min="1282" max="1282" width="8.87962962962963" style="1945"/>
    <col min="1283" max="1285" width="12.8796296296296" style="1945" customWidth="1"/>
    <col min="1286" max="1286" width="47.5" style="1945" customWidth="1"/>
    <col min="1287" max="1287" width="13" style="1945" customWidth="1"/>
    <col min="1288" max="1289" width="8.87962962962963" style="1945"/>
    <col min="1290" max="1290" width="5.75" style="1945" customWidth="1"/>
    <col min="1291" max="1291" width="11.75" style="1945" customWidth="1"/>
    <col min="1292" max="1293" width="10.75" style="1945" customWidth="1"/>
    <col min="1294" max="1294" width="10" style="1945" customWidth="1"/>
    <col min="1295" max="1296" width="10.5" style="1945" customWidth="1"/>
    <col min="1297" max="1297" width="10" style="1945" customWidth="1"/>
    <col min="1298" max="1298" width="10.1296296296296" style="1945" customWidth="1"/>
    <col min="1299" max="1299" width="10" style="1945" customWidth="1"/>
    <col min="1300" max="1300" width="26.1296296296296" style="1945" customWidth="1"/>
    <col min="1301" max="1536" width="8.87962962962963" style="1945"/>
    <col min="1537" max="1537" width="9.5" style="1945" customWidth="1"/>
    <col min="1538" max="1538" width="8.87962962962963" style="1945"/>
    <col min="1539" max="1541" width="12.8796296296296" style="1945" customWidth="1"/>
    <col min="1542" max="1542" width="47.5" style="1945" customWidth="1"/>
    <col min="1543" max="1543" width="13" style="1945" customWidth="1"/>
    <col min="1544" max="1545" width="8.87962962962963" style="1945"/>
    <col min="1546" max="1546" width="5.75" style="1945" customWidth="1"/>
    <col min="1547" max="1547" width="11.75" style="1945" customWidth="1"/>
    <col min="1548" max="1549" width="10.75" style="1945" customWidth="1"/>
    <col min="1550" max="1550" width="10" style="1945" customWidth="1"/>
    <col min="1551" max="1552" width="10.5" style="1945" customWidth="1"/>
    <col min="1553" max="1553" width="10" style="1945" customWidth="1"/>
    <col min="1554" max="1554" width="10.1296296296296" style="1945" customWidth="1"/>
    <col min="1555" max="1555" width="10" style="1945" customWidth="1"/>
    <col min="1556" max="1556" width="26.1296296296296" style="1945" customWidth="1"/>
    <col min="1557" max="1792" width="8.87962962962963" style="1945"/>
    <col min="1793" max="1793" width="9.5" style="1945" customWidth="1"/>
    <col min="1794" max="1794" width="8.87962962962963" style="1945"/>
    <col min="1795" max="1797" width="12.8796296296296" style="1945" customWidth="1"/>
    <col min="1798" max="1798" width="47.5" style="1945" customWidth="1"/>
    <col min="1799" max="1799" width="13" style="1945" customWidth="1"/>
    <col min="1800" max="1801" width="8.87962962962963" style="1945"/>
    <col min="1802" max="1802" width="5.75" style="1945" customWidth="1"/>
    <col min="1803" max="1803" width="11.75" style="1945" customWidth="1"/>
    <col min="1804" max="1805" width="10.75" style="1945" customWidth="1"/>
    <col min="1806" max="1806" width="10" style="1945" customWidth="1"/>
    <col min="1807" max="1808" width="10.5" style="1945" customWidth="1"/>
    <col min="1809" max="1809" width="10" style="1945" customWidth="1"/>
    <col min="1810" max="1810" width="10.1296296296296" style="1945" customWidth="1"/>
    <col min="1811" max="1811" width="10" style="1945" customWidth="1"/>
    <col min="1812" max="1812" width="26.1296296296296" style="1945" customWidth="1"/>
    <col min="1813" max="2048" width="8.87962962962963" style="1945"/>
    <col min="2049" max="2049" width="9.5" style="1945" customWidth="1"/>
    <col min="2050" max="2050" width="8.87962962962963" style="1945"/>
    <col min="2051" max="2053" width="12.8796296296296" style="1945" customWidth="1"/>
    <col min="2054" max="2054" width="47.5" style="1945" customWidth="1"/>
    <col min="2055" max="2055" width="13" style="1945" customWidth="1"/>
    <col min="2056" max="2057" width="8.87962962962963" style="1945"/>
    <col min="2058" max="2058" width="5.75" style="1945" customWidth="1"/>
    <col min="2059" max="2059" width="11.75" style="1945" customWidth="1"/>
    <col min="2060" max="2061" width="10.75" style="1945" customWidth="1"/>
    <col min="2062" max="2062" width="10" style="1945" customWidth="1"/>
    <col min="2063" max="2064" width="10.5" style="1945" customWidth="1"/>
    <col min="2065" max="2065" width="10" style="1945" customWidth="1"/>
    <col min="2066" max="2066" width="10.1296296296296" style="1945" customWidth="1"/>
    <col min="2067" max="2067" width="10" style="1945" customWidth="1"/>
    <col min="2068" max="2068" width="26.1296296296296" style="1945" customWidth="1"/>
    <col min="2069" max="2304" width="8.87962962962963" style="1945"/>
    <col min="2305" max="2305" width="9.5" style="1945" customWidth="1"/>
    <col min="2306" max="2306" width="8.87962962962963" style="1945"/>
    <col min="2307" max="2309" width="12.8796296296296" style="1945" customWidth="1"/>
    <col min="2310" max="2310" width="47.5" style="1945" customWidth="1"/>
    <col min="2311" max="2311" width="13" style="1945" customWidth="1"/>
    <col min="2312" max="2313" width="8.87962962962963" style="1945"/>
    <col min="2314" max="2314" width="5.75" style="1945" customWidth="1"/>
    <col min="2315" max="2315" width="11.75" style="1945" customWidth="1"/>
    <col min="2316" max="2317" width="10.75" style="1945" customWidth="1"/>
    <col min="2318" max="2318" width="10" style="1945" customWidth="1"/>
    <col min="2319" max="2320" width="10.5" style="1945" customWidth="1"/>
    <col min="2321" max="2321" width="10" style="1945" customWidth="1"/>
    <col min="2322" max="2322" width="10.1296296296296" style="1945" customWidth="1"/>
    <col min="2323" max="2323" width="10" style="1945" customWidth="1"/>
    <col min="2324" max="2324" width="26.1296296296296" style="1945" customWidth="1"/>
    <col min="2325" max="2560" width="8.87962962962963" style="1945"/>
    <col min="2561" max="2561" width="9.5" style="1945" customWidth="1"/>
    <col min="2562" max="2562" width="8.87962962962963" style="1945"/>
    <col min="2563" max="2565" width="12.8796296296296" style="1945" customWidth="1"/>
    <col min="2566" max="2566" width="47.5" style="1945" customWidth="1"/>
    <col min="2567" max="2567" width="13" style="1945" customWidth="1"/>
    <col min="2568" max="2569" width="8.87962962962963" style="1945"/>
    <col min="2570" max="2570" width="5.75" style="1945" customWidth="1"/>
    <col min="2571" max="2571" width="11.75" style="1945" customWidth="1"/>
    <col min="2572" max="2573" width="10.75" style="1945" customWidth="1"/>
    <col min="2574" max="2574" width="10" style="1945" customWidth="1"/>
    <col min="2575" max="2576" width="10.5" style="1945" customWidth="1"/>
    <col min="2577" max="2577" width="10" style="1945" customWidth="1"/>
    <col min="2578" max="2578" width="10.1296296296296" style="1945" customWidth="1"/>
    <col min="2579" max="2579" width="10" style="1945" customWidth="1"/>
    <col min="2580" max="2580" width="26.1296296296296" style="1945" customWidth="1"/>
    <col min="2581" max="2816" width="8.87962962962963" style="1945"/>
    <col min="2817" max="2817" width="9.5" style="1945" customWidth="1"/>
    <col min="2818" max="2818" width="8.87962962962963" style="1945"/>
    <col min="2819" max="2821" width="12.8796296296296" style="1945" customWidth="1"/>
    <col min="2822" max="2822" width="47.5" style="1945" customWidth="1"/>
    <col min="2823" max="2823" width="13" style="1945" customWidth="1"/>
    <col min="2824" max="2825" width="8.87962962962963" style="1945"/>
    <col min="2826" max="2826" width="5.75" style="1945" customWidth="1"/>
    <col min="2827" max="2827" width="11.75" style="1945" customWidth="1"/>
    <col min="2828" max="2829" width="10.75" style="1945" customWidth="1"/>
    <col min="2830" max="2830" width="10" style="1945" customWidth="1"/>
    <col min="2831" max="2832" width="10.5" style="1945" customWidth="1"/>
    <col min="2833" max="2833" width="10" style="1945" customWidth="1"/>
    <col min="2834" max="2834" width="10.1296296296296" style="1945" customWidth="1"/>
    <col min="2835" max="2835" width="10" style="1945" customWidth="1"/>
    <col min="2836" max="2836" width="26.1296296296296" style="1945" customWidth="1"/>
    <col min="2837" max="3072" width="8.87962962962963" style="1945"/>
    <col min="3073" max="3073" width="9.5" style="1945" customWidth="1"/>
    <col min="3074" max="3074" width="8.87962962962963" style="1945"/>
    <col min="3075" max="3077" width="12.8796296296296" style="1945" customWidth="1"/>
    <col min="3078" max="3078" width="47.5" style="1945" customWidth="1"/>
    <col min="3079" max="3079" width="13" style="1945" customWidth="1"/>
    <col min="3080" max="3081" width="8.87962962962963" style="1945"/>
    <col min="3082" max="3082" width="5.75" style="1945" customWidth="1"/>
    <col min="3083" max="3083" width="11.75" style="1945" customWidth="1"/>
    <col min="3084" max="3085" width="10.75" style="1945" customWidth="1"/>
    <col min="3086" max="3086" width="10" style="1945" customWidth="1"/>
    <col min="3087" max="3088" width="10.5" style="1945" customWidth="1"/>
    <col min="3089" max="3089" width="10" style="1945" customWidth="1"/>
    <col min="3090" max="3090" width="10.1296296296296" style="1945" customWidth="1"/>
    <col min="3091" max="3091" width="10" style="1945" customWidth="1"/>
    <col min="3092" max="3092" width="26.1296296296296" style="1945" customWidth="1"/>
    <col min="3093" max="3328" width="8.87962962962963" style="1945"/>
    <col min="3329" max="3329" width="9.5" style="1945" customWidth="1"/>
    <col min="3330" max="3330" width="8.87962962962963" style="1945"/>
    <col min="3331" max="3333" width="12.8796296296296" style="1945" customWidth="1"/>
    <col min="3334" max="3334" width="47.5" style="1945" customWidth="1"/>
    <col min="3335" max="3335" width="13" style="1945" customWidth="1"/>
    <col min="3336" max="3337" width="8.87962962962963" style="1945"/>
    <col min="3338" max="3338" width="5.75" style="1945" customWidth="1"/>
    <col min="3339" max="3339" width="11.75" style="1945" customWidth="1"/>
    <col min="3340" max="3341" width="10.75" style="1945" customWidth="1"/>
    <col min="3342" max="3342" width="10" style="1945" customWidth="1"/>
    <col min="3343" max="3344" width="10.5" style="1945" customWidth="1"/>
    <col min="3345" max="3345" width="10" style="1945" customWidth="1"/>
    <col min="3346" max="3346" width="10.1296296296296" style="1945" customWidth="1"/>
    <col min="3347" max="3347" width="10" style="1945" customWidth="1"/>
    <col min="3348" max="3348" width="26.1296296296296" style="1945" customWidth="1"/>
    <col min="3349" max="3584" width="8.87962962962963" style="1945"/>
    <col min="3585" max="3585" width="9.5" style="1945" customWidth="1"/>
    <col min="3586" max="3586" width="8.87962962962963" style="1945"/>
    <col min="3587" max="3589" width="12.8796296296296" style="1945" customWidth="1"/>
    <col min="3590" max="3590" width="47.5" style="1945" customWidth="1"/>
    <col min="3591" max="3591" width="13" style="1945" customWidth="1"/>
    <col min="3592" max="3593" width="8.87962962962963" style="1945"/>
    <col min="3594" max="3594" width="5.75" style="1945" customWidth="1"/>
    <col min="3595" max="3595" width="11.75" style="1945" customWidth="1"/>
    <col min="3596" max="3597" width="10.75" style="1945" customWidth="1"/>
    <col min="3598" max="3598" width="10" style="1945" customWidth="1"/>
    <col min="3599" max="3600" width="10.5" style="1945" customWidth="1"/>
    <col min="3601" max="3601" width="10" style="1945" customWidth="1"/>
    <col min="3602" max="3602" width="10.1296296296296" style="1945" customWidth="1"/>
    <col min="3603" max="3603" width="10" style="1945" customWidth="1"/>
    <col min="3604" max="3604" width="26.1296296296296" style="1945" customWidth="1"/>
    <col min="3605" max="3840" width="8.87962962962963" style="1945"/>
    <col min="3841" max="3841" width="9.5" style="1945" customWidth="1"/>
    <col min="3842" max="3842" width="8.87962962962963" style="1945"/>
    <col min="3843" max="3845" width="12.8796296296296" style="1945" customWidth="1"/>
    <col min="3846" max="3846" width="47.5" style="1945" customWidth="1"/>
    <col min="3847" max="3847" width="13" style="1945" customWidth="1"/>
    <col min="3848" max="3849" width="8.87962962962963" style="1945"/>
    <col min="3850" max="3850" width="5.75" style="1945" customWidth="1"/>
    <col min="3851" max="3851" width="11.75" style="1945" customWidth="1"/>
    <col min="3852" max="3853" width="10.75" style="1945" customWidth="1"/>
    <col min="3854" max="3854" width="10" style="1945" customWidth="1"/>
    <col min="3855" max="3856" width="10.5" style="1945" customWidth="1"/>
    <col min="3857" max="3857" width="10" style="1945" customWidth="1"/>
    <col min="3858" max="3858" width="10.1296296296296" style="1945" customWidth="1"/>
    <col min="3859" max="3859" width="10" style="1945" customWidth="1"/>
    <col min="3860" max="3860" width="26.1296296296296" style="1945" customWidth="1"/>
    <col min="3861" max="4096" width="8.87962962962963" style="1945"/>
    <col min="4097" max="4097" width="9.5" style="1945" customWidth="1"/>
    <col min="4098" max="4098" width="8.87962962962963" style="1945"/>
    <col min="4099" max="4101" width="12.8796296296296" style="1945" customWidth="1"/>
    <col min="4102" max="4102" width="47.5" style="1945" customWidth="1"/>
    <col min="4103" max="4103" width="13" style="1945" customWidth="1"/>
    <col min="4104" max="4105" width="8.87962962962963" style="1945"/>
    <col min="4106" max="4106" width="5.75" style="1945" customWidth="1"/>
    <col min="4107" max="4107" width="11.75" style="1945" customWidth="1"/>
    <col min="4108" max="4109" width="10.75" style="1945" customWidth="1"/>
    <col min="4110" max="4110" width="10" style="1945" customWidth="1"/>
    <col min="4111" max="4112" width="10.5" style="1945" customWidth="1"/>
    <col min="4113" max="4113" width="10" style="1945" customWidth="1"/>
    <col min="4114" max="4114" width="10.1296296296296" style="1945" customWidth="1"/>
    <col min="4115" max="4115" width="10" style="1945" customWidth="1"/>
    <col min="4116" max="4116" width="26.1296296296296" style="1945" customWidth="1"/>
    <col min="4117" max="4352" width="8.87962962962963" style="1945"/>
    <col min="4353" max="4353" width="9.5" style="1945" customWidth="1"/>
    <col min="4354" max="4354" width="8.87962962962963" style="1945"/>
    <col min="4355" max="4357" width="12.8796296296296" style="1945" customWidth="1"/>
    <col min="4358" max="4358" width="47.5" style="1945" customWidth="1"/>
    <col min="4359" max="4359" width="13" style="1945" customWidth="1"/>
    <col min="4360" max="4361" width="8.87962962962963" style="1945"/>
    <col min="4362" max="4362" width="5.75" style="1945" customWidth="1"/>
    <col min="4363" max="4363" width="11.75" style="1945" customWidth="1"/>
    <col min="4364" max="4365" width="10.75" style="1945" customWidth="1"/>
    <col min="4366" max="4366" width="10" style="1945" customWidth="1"/>
    <col min="4367" max="4368" width="10.5" style="1945" customWidth="1"/>
    <col min="4369" max="4369" width="10" style="1945" customWidth="1"/>
    <col min="4370" max="4370" width="10.1296296296296" style="1945" customWidth="1"/>
    <col min="4371" max="4371" width="10" style="1945" customWidth="1"/>
    <col min="4372" max="4372" width="26.1296296296296" style="1945" customWidth="1"/>
    <col min="4373" max="4608" width="8.87962962962963" style="1945"/>
    <col min="4609" max="4609" width="9.5" style="1945" customWidth="1"/>
    <col min="4610" max="4610" width="8.87962962962963" style="1945"/>
    <col min="4611" max="4613" width="12.8796296296296" style="1945" customWidth="1"/>
    <col min="4614" max="4614" width="47.5" style="1945" customWidth="1"/>
    <col min="4615" max="4615" width="13" style="1945" customWidth="1"/>
    <col min="4616" max="4617" width="8.87962962962963" style="1945"/>
    <col min="4618" max="4618" width="5.75" style="1945" customWidth="1"/>
    <col min="4619" max="4619" width="11.75" style="1945" customWidth="1"/>
    <col min="4620" max="4621" width="10.75" style="1945" customWidth="1"/>
    <col min="4622" max="4622" width="10" style="1945" customWidth="1"/>
    <col min="4623" max="4624" width="10.5" style="1945" customWidth="1"/>
    <col min="4625" max="4625" width="10" style="1945" customWidth="1"/>
    <col min="4626" max="4626" width="10.1296296296296" style="1945" customWidth="1"/>
    <col min="4627" max="4627" width="10" style="1945" customWidth="1"/>
    <col min="4628" max="4628" width="26.1296296296296" style="1945" customWidth="1"/>
    <col min="4629" max="4864" width="8.87962962962963" style="1945"/>
    <col min="4865" max="4865" width="9.5" style="1945" customWidth="1"/>
    <col min="4866" max="4866" width="8.87962962962963" style="1945"/>
    <col min="4867" max="4869" width="12.8796296296296" style="1945" customWidth="1"/>
    <col min="4870" max="4870" width="47.5" style="1945" customWidth="1"/>
    <col min="4871" max="4871" width="13" style="1945" customWidth="1"/>
    <col min="4872" max="4873" width="8.87962962962963" style="1945"/>
    <col min="4874" max="4874" width="5.75" style="1945" customWidth="1"/>
    <col min="4875" max="4875" width="11.75" style="1945" customWidth="1"/>
    <col min="4876" max="4877" width="10.75" style="1945" customWidth="1"/>
    <col min="4878" max="4878" width="10" style="1945" customWidth="1"/>
    <col min="4879" max="4880" width="10.5" style="1945" customWidth="1"/>
    <col min="4881" max="4881" width="10" style="1945" customWidth="1"/>
    <col min="4882" max="4882" width="10.1296296296296" style="1945" customWidth="1"/>
    <col min="4883" max="4883" width="10" style="1945" customWidth="1"/>
    <col min="4884" max="4884" width="26.1296296296296" style="1945" customWidth="1"/>
    <col min="4885" max="5120" width="8.87962962962963" style="1945"/>
    <col min="5121" max="5121" width="9.5" style="1945" customWidth="1"/>
    <col min="5122" max="5122" width="8.87962962962963" style="1945"/>
    <col min="5123" max="5125" width="12.8796296296296" style="1945" customWidth="1"/>
    <col min="5126" max="5126" width="47.5" style="1945" customWidth="1"/>
    <col min="5127" max="5127" width="13" style="1945" customWidth="1"/>
    <col min="5128" max="5129" width="8.87962962962963" style="1945"/>
    <col min="5130" max="5130" width="5.75" style="1945" customWidth="1"/>
    <col min="5131" max="5131" width="11.75" style="1945" customWidth="1"/>
    <col min="5132" max="5133" width="10.75" style="1945" customWidth="1"/>
    <col min="5134" max="5134" width="10" style="1945" customWidth="1"/>
    <col min="5135" max="5136" width="10.5" style="1945" customWidth="1"/>
    <col min="5137" max="5137" width="10" style="1945" customWidth="1"/>
    <col min="5138" max="5138" width="10.1296296296296" style="1945" customWidth="1"/>
    <col min="5139" max="5139" width="10" style="1945" customWidth="1"/>
    <col min="5140" max="5140" width="26.1296296296296" style="1945" customWidth="1"/>
    <col min="5141" max="5376" width="8.87962962962963" style="1945"/>
    <col min="5377" max="5377" width="9.5" style="1945" customWidth="1"/>
    <col min="5378" max="5378" width="8.87962962962963" style="1945"/>
    <col min="5379" max="5381" width="12.8796296296296" style="1945" customWidth="1"/>
    <col min="5382" max="5382" width="47.5" style="1945" customWidth="1"/>
    <col min="5383" max="5383" width="13" style="1945" customWidth="1"/>
    <col min="5384" max="5385" width="8.87962962962963" style="1945"/>
    <col min="5386" max="5386" width="5.75" style="1945" customWidth="1"/>
    <col min="5387" max="5387" width="11.75" style="1945" customWidth="1"/>
    <col min="5388" max="5389" width="10.75" style="1945" customWidth="1"/>
    <col min="5390" max="5390" width="10" style="1945" customWidth="1"/>
    <col min="5391" max="5392" width="10.5" style="1945" customWidth="1"/>
    <col min="5393" max="5393" width="10" style="1945" customWidth="1"/>
    <col min="5394" max="5394" width="10.1296296296296" style="1945" customWidth="1"/>
    <col min="5395" max="5395" width="10" style="1945" customWidth="1"/>
    <col min="5396" max="5396" width="26.1296296296296" style="1945" customWidth="1"/>
    <col min="5397" max="5632" width="8.87962962962963" style="1945"/>
    <col min="5633" max="5633" width="9.5" style="1945" customWidth="1"/>
    <col min="5634" max="5634" width="8.87962962962963" style="1945"/>
    <col min="5635" max="5637" width="12.8796296296296" style="1945" customWidth="1"/>
    <col min="5638" max="5638" width="47.5" style="1945" customWidth="1"/>
    <col min="5639" max="5639" width="13" style="1945" customWidth="1"/>
    <col min="5640" max="5641" width="8.87962962962963" style="1945"/>
    <col min="5642" max="5642" width="5.75" style="1945" customWidth="1"/>
    <col min="5643" max="5643" width="11.75" style="1945" customWidth="1"/>
    <col min="5644" max="5645" width="10.75" style="1945" customWidth="1"/>
    <col min="5646" max="5646" width="10" style="1945" customWidth="1"/>
    <col min="5647" max="5648" width="10.5" style="1945" customWidth="1"/>
    <col min="5649" max="5649" width="10" style="1945" customWidth="1"/>
    <col min="5650" max="5650" width="10.1296296296296" style="1945" customWidth="1"/>
    <col min="5651" max="5651" width="10" style="1945" customWidth="1"/>
    <col min="5652" max="5652" width="26.1296296296296" style="1945" customWidth="1"/>
    <col min="5653" max="5888" width="8.87962962962963" style="1945"/>
    <col min="5889" max="5889" width="9.5" style="1945" customWidth="1"/>
    <col min="5890" max="5890" width="8.87962962962963" style="1945"/>
    <col min="5891" max="5893" width="12.8796296296296" style="1945" customWidth="1"/>
    <col min="5894" max="5894" width="47.5" style="1945" customWidth="1"/>
    <col min="5895" max="5895" width="13" style="1945" customWidth="1"/>
    <col min="5896" max="5897" width="8.87962962962963" style="1945"/>
    <col min="5898" max="5898" width="5.75" style="1945" customWidth="1"/>
    <col min="5899" max="5899" width="11.75" style="1945" customWidth="1"/>
    <col min="5900" max="5901" width="10.75" style="1945" customWidth="1"/>
    <col min="5902" max="5902" width="10" style="1945" customWidth="1"/>
    <col min="5903" max="5904" width="10.5" style="1945" customWidth="1"/>
    <col min="5905" max="5905" width="10" style="1945" customWidth="1"/>
    <col min="5906" max="5906" width="10.1296296296296" style="1945" customWidth="1"/>
    <col min="5907" max="5907" width="10" style="1945" customWidth="1"/>
    <col min="5908" max="5908" width="26.1296296296296" style="1945" customWidth="1"/>
    <col min="5909" max="6144" width="8.87962962962963" style="1945"/>
    <col min="6145" max="6145" width="9.5" style="1945" customWidth="1"/>
    <col min="6146" max="6146" width="8.87962962962963" style="1945"/>
    <col min="6147" max="6149" width="12.8796296296296" style="1945" customWidth="1"/>
    <col min="6150" max="6150" width="47.5" style="1945" customWidth="1"/>
    <col min="6151" max="6151" width="13" style="1945" customWidth="1"/>
    <col min="6152" max="6153" width="8.87962962962963" style="1945"/>
    <col min="6154" max="6154" width="5.75" style="1945" customWidth="1"/>
    <col min="6155" max="6155" width="11.75" style="1945" customWidth="1"/>
    <col min="6156" max="6157" width="10.75" style="1945" customWidth="1"/>
    <col min="6158" max="6158" width="10" style="1945" customWidth="1"/>
    <col min="6159" max="6160" width="10.5" style="1945" customWidth="1"/>
    <col min="6161" max="6161" width="10" style="1945" customWidth="1"/>
    <col min="6162" max="6162" width="10.1296296296296" style="1945" customWidth="1"/>
    <col min="6163" max="6163" width="10" style="1945" customWidth="1"/>
    <col min="6164" max="6164" width="26.1296296296296" style="1945" customWidth="1"/>
    <col min="6165" max="6400" width="8.87962962962963" style="1945"/>
    <col min="6401" max="6401" width="9.5" style="1945" customWidth="1"/>
    <col min="6402" max="6402" width="8.87962962962963" style="1945"/>
    <col min="6403" max="6405" width="12.8796296296296" style="1945" customWidth="1"/>
    <col min="6406" max="6406" width="47.5" style="1945" customWidth="1"/>
    <col min="6407" max="6407" width="13" style="1945" customWidth="1"/>
    <col min="6408" max="6409" width="8.87962962962963" style="1945"/>
    <col min="6410" max="6410" width="5.75" style="1945" customWidth="1"/>
    <col min="6411" max="6411" width="11.75" style="1945" customWidth="1"/>
    <col min="6412" max="6413" width="10.75" style="1945" customWidth="1"/>
    <col min="6414" max="6414" width="10" style="1945" customWidth="1"/>
    <col min="6415" max="6416" width="10.5" style="1945" customWidth="1"/>
    <col min="6417" max="6417" width="10" style="1945" customWidth="1"/>
    <col min="6418" max="6418" width="10.1296296296296" style="1945" customWidth="1"/>
    <col min="6419" max="6419" width="10" style="1945" customWidth="1"/>
    <col min="6420" max="6420" width="26.1296296296296" style="1945" customWidth="1"/>
    <col min="6421" max="6656" width="8.87962962962963" style="1945"/>
    <col min="6657" max="6657" width="9.5" style="1945" customWidth="1"/>
    <col min="6658" max="6658" width="8.87962962962963" style="1945"/>
    <col min="6659" max="6661" width="12.8796296296296" style="1945" customWidth="1"/>
    <col min="6662" max="6662" width="47.5" style="1945" customWidth="1"/>
    <col min="6663" max="6663" width="13" style="1945" customWidth="1"/>
    <col min="6664" max="6665" width="8.87962962962963" style="1945"/>
    <col min="6666" max="6666" width="5.75" style="1945" customWidth="1"/>
    <col min="6667" max="6667" width="11.75" style="1945" customWidth="1"/>
    <col min="6668" max="6669" width="10.75" style="1945" customWidth="1"/>
    <col min="6670" max="6670" width="10" style="1945" customWidth="1"/>
    <col min="6671" max="6672" width="10.5" style="1945" customWidth="1"/>
    <col min="6673" max="6673" width="10" style="1945" customWidth="1"/>
    <col min="6674" max="6674" width="10.1296296296296" style="1945" customWidth="1"/>
    <col min="6675" max="6675" width="10" style="1945" customWidth="1"/>
    <col min="6676" max="6676" width="26.1296296296296" style="1945" customWidth="1"/>
    <col min="6677" max="6912" width="8.87962962962963" style="1945"/>
    <col min="6913" max="6913" width="9.5" style="1945" customWidth="1"/>
    <col min="6914" max="6914" width="8.87962962962963" style="1945"/>
    <col min="6915" max="6917" width="12.8796296296296" style="1945" customWidth="1"/>
    <col min="6918" max="6918" width="47.5" style="1945" customWidth="1"/>
    <col min="6919" max="6919" width="13" style="1945" customWidth="1"/>
    <col min="6920" max="6921" width="8.87962962962963" style="1945"/>
    <col min="6922" max="6922" width="5.75" style="1945" customWidth="1"/>
    <col min="6923" max="6923" width="11.75" style="1945" customWidth="1"/>
    <col min="6924" max="6925" width="10.75" style="1945" customWidth="1"/>
    <col min="6926" max="6926" width="10" style="1945" customWidth="1"/>
    <col min="6927" max="6928" width="10.5" style="1945" customWidth="1"/>
    <col min="6929" max="6929" width="10" style="1945" customWidth="1"/>
    <col min="6930" max="6930" width="10.1296296296296" style="1945" customWidth="1"/>
    <col min="6931" max="6931" width="10" style="1945" customWidth="1"/>
    <col min="6932" max="6932" width="26.1296296296296" style="1945" customWidth="1"/>
    <col min="6933" max="7168" width="8.87962962962963" style="1945"/>
    <col min="7169" max="7169" width="9.5" style="1945" customWidth="1"/>
    <col min="7170" max="7170" width="8.87962962962963" style="1945"/>
    <col min="7171" max="7173" width="12.8796296296296" style="1945" customWidth="1"/>
    <col min="7174" max="7174" width="47.5" style="1945" customWidth="1"/>
    <col min="7175" max="7175" width="13" style="1945" customWidth="1"/>
    <col min="7176" max="7177" width="8.87962962962963" style="1945"/>
    <col min="7178" max="7178" width="5.75" style="1945" customWidth="1"/>
    <col min="7179" max="7179" width="11.75" style="1945" customWidth="1"/>
    <col min="7180" max="7181" width="10.75" style="1945" customWidth="1"/>
    <col min="7182" max="7182" width="10" style="1945" customWidth="1"/>
    <col min="7183" max="7184" width="10.5" style="1945" customWidth="1"/>
    <col min="7185" max="7185" width="10" style="1945" customWidth="1"/>
    <col min="7186" max="7186" width="10.1296296296296" style="1945" customWidth="1"/>
    <col min="7187" max="7187" width="10" style="1945" customWidth="1"/>
    <col min="7188" max="7188" width="26.1296296296296" style="1945" customWidth="1"/>
    <col min="7189" max="7424" width="8.87962962962963" style="1945"/>
    <col min="7425" max="7425" width="9.5" style="1945" customWidth="1"/>
    <col min="7426" max="7426" width="8.87962962962963" style="1945"/>
    <col min="7427" max="7429" width="12.8796296296296" style="1945" customWidth="1"/>
    <col min="7430" max="7430" width="47.5" style="1945" customWidth="1"/>
    <col min="7431" max="7431" width="13" style="1945" customWidth="1"/>
    <col min="7432" max="7433" width="8.87962962962963" style="1945"/>
    <col min="7434" max="7434" width="5.75" style="1945" customWidth="1"/>
    <col min="7435" max="7435" width="11.75" style="1945" customWidth="1"/>
    <col min="7436" max="7437" width="10.75" style="1945" customWidth="1"/>
    <col min="7438" max="7438" width="10" style="1945" customWidth="1"/>
    <col min="7439" max="7440" width="10.5" style="1945" customWidth="1"/>
    <col min="7441" max="7441" width="10" style="1945" customWidth="1"/>
    <col min="7442" max="7442" width="10.1296296296296" style="1945" customWidth="1"/>
    <col min="7443" max="7443" width="10" style="1945" customWidth="1"/>
    <col min="7444" max="7444" width="26.1296296296296" style="1945" customWidth="1"/>
    <col min="7445" max="7680" width="8.87962962962963" style="1945"/>
    <col min="7681" max="7681" width="9.5" style="1945" customWidth="1"/>
    <col min="7682" max="7682" width="8.87962962962963" style="1945"/>
    <col min="7683" max="7685" width="12.8796296296296" style="1945" customWidth="1"/>
    <col min="7686" max="7686" width="47.5" style="1945" customWidth="1"/>
    <col min="7687" max="7687" width="13" style="1945" customWidth="1"/>
    <col min="7688" max="7689" width="8.87962962962963" style="1945"/>
    <col min="7690" max="7690" width="5.75" style="1945" customWidth="1"/>
    <col min="7691" max="7691" width="11.75" style="1945" customWidth="1"/>
    <col min="7692" max="7693" width="10.75" style="1945" customWidth="1"/>
    <col min="7694" max="7694" width="10" style="1945" customWidth="1"/>
    <col min="7695" max="7696" width="10.5" style="1945" customWidth="1"/>
    <col min="7697" max="7697" width="10" style="1945" customWidth="1"/>
    <col min="7698" max="7698" width="10.1296296296296" style="1945" customWidth="1"/>
    <col min="7699" max="7699" width="10" style="1945" customWidth="1"/>
    <col min="7700" max="7700" width="26.1296296296296" style="1945" customWidth="1"/>
    <col min="7701" max="7936" width="8.87962962962963" style="1945"/>
    <col min="7937" max="7937" width="9.5" style="1945" customWidth="1"/>
    <col min="7938" max="7938" width="8.87962962962963" style="1945"/>
    <col min="7939" max="7941" width="12.8796296296296" style="1945" customWidth="1"/>
    <col min="7942" max="7942" width="47.5" style="1945" customWidth="1"/>
    <col min="7943" max="7943" width="13" style="1945" customWidth="1"/>
    <col min="7944" max="7945" width="8.87962962962963" style="1945"/>
    <col min="7946" max="7946" width="5.75" style="1945" customWidth="1"/>
    <col min="7947" max="7947" width="11.75" style="1945" customWidth="1"/>
    <col min="7948" max="7949" width="10.75" style="1945" customWidth="1"/>
    <col min="7950" max="7950" width="10" style="1945" customWidth="1"/>
    <col min="7951" max="7952" width="10.5" style="1945" customWidth="1"/>
    <col min="7953" max="7953" width="10" style="1945" customWidth="1"/>
    <col min="7954" max="7954" width="10.1296296296296" style="1945" customWidth="1"/>
    <col min="7955" max="7955" width="10" style="1945" customWidth="1"/>
    <col min="7956" max="7956" width="26.1296296296296" style="1945" customWidth="1"/>
    <col min="7957" max="8192" width="8.87962962962963" style="1945"/>
    <col min="8193" max="8193" width="9.5" style="1945" customWidth="1"/>
    <col min="8194" max="8194" width="8.87962962962963" style="1945"/>
    <col min="8195" max="8197" width="12.8796296296296" style="1945" customWidth="1"/>
    <col min="8198" max="8198" width="47.5" style="1945" customWidth="1"/>
    <col min="8199" max="8199" width="13" style="1945" customWidth="1"/>
    <col min="8200" max="8201" width="8.87962962962963" style="1945"/>
    <col min="8202" max="8202" width="5.75" style="1945" customWidth="1"/>
    <col min="8203" max="8203" width="11.75" style="1945" customWidth="1"/>
    <col min="8204" max="8205" width="10.75" style="1945" customWidth="1"/>
    <col min="8206" max="8206" width="10" style="1945" customWidth="1"/>
    <col min="8207" max="8208" width="10.5" style="1945" customWidth="1"/>
    <col min="8209" max="8209" width="10" style="1945" customWidth="1"/>
    <col min="8210" max="8210" width="10.1296296296296" style="1945" customWidth="1"/>
    <col min="8211" max="8211" width="10" style="1945" customWidth="1"/>
    <col min="8212" max="8212" width="26.1296296296296" style="1945" customWidth="1"/>
    <col min="8213" max="8448" width="8.87962962962963" style="1945"/>
    <col min="8449" max="8449" width="9.5" style="1945" customWidth="1"/>
    <col min="8450" max="8450" width="8.87962962962963" style="1945"/>
    <col min="8451" max="8453" width="12.8796296296296" style="1945" customWidth="1"/>
    <col min="8454" max="8454" width="47.5" style="1945" customWidth="1"/>
    <col min="8455" max="8455" width="13" style="1945" customWidth="1"/>
    <col min="8456" max="8457" width="8.87962962962963" style="1945"/>
    <col min="8458" max="8458" width="5.75" style="1945" customWidth="1"/>
    <col min="8459" max="8459" width="11.75" style="1945" customWidth="1"/>
    <col min="8460" max="8461" width="10.75" style="1945" customWidth="1"/>
    <col min="8462" max="8462" width="10" style="1945" customWidth="1"/>
    <col min="8463" max="8464" width="10.5" style="1945" customWidth="1"/>
    <col min="8465" max="8465" width="10" style="1945" customWidth="1"/>
    <col min="8466" max="8466" width="10.1296296296296" style="1945" customWidth="1"/>
    <col min="8467" max="8467" width="10" style="1945" customWidth="1"/>
    <col min="8468" max="8468" width="26.1296296296296" style="1945" customWidth="1"/>
    <col min="8469" max="8704" width="8.87962962962963" style="1945"/>
    <col min="8705" max="8705" width="9.5" style="1945" customWidth="1"/>
    <col min="8706" max="8706" width="8.87962962962963" style="1945"/>
    <col min="8707" max="8709" width="12.8796296296296" style="1945" customWidth="1"/>
    <col min="8710" max="8710" width="47.5" style="1945" customWidth="1"/>
    <col min="8711" max="8711" width="13" style="1945" customWidth="1"/>
    <col min="8712" max="8713" width="8.87962962962963" style="1945"/>
    <col min="8714" max="8714" width="5.75" style="1945" customWidth="1"/>
    <col min="8715" max="8715" width="11.75" style="1945" customWidth="1"/>
    <col min="8716" max="8717" width="10.75" style="1945" customWidth="1"/>
    <col min="8718" max="8718" width="10" style="1945" customWidth="1"/>
    <col min="8719" max="8720" width="10.5" style="1945" customWidth="1"/>
    <col min="8721" max="8721" width="10" style="1945" customWidth="1"/>
    <col min="8722" max="8722" width="10.1296296296296" style="1945" customWidth="1"/>
    <col min="8723" max="8723" width="10" style="1945" customWidth="1"/>
    <col min="8724" max="8724" width="26.1296296296296" style="1945" customWidth="1"/>
    <col min="8725" max="8960" width="8.87962962962963" style="1945"/>
    <col min="8961" max="8961" width="9.5" style="1945" customWidth="1"/>
    <col min="8962" max="8962" width="8.87962962962963" style="1945"/>
    <col min="8963" max="8965" width="12.8796296296296" style="1945" customWidth="1"/>
    <col min="8966" max="8966" width="47.5" style="1945" customWidth="1"/>
    <col min="8967" max="8967" width="13" style="1945" customWidth="1"/>
    <col min="8968" max="8969" width="8.87962962962963" style="1945"/>
    <col min="8970" max="8970" width="5.75" style="1945" customWidth="1"/>
    <col min="8971" max="8971" width="11.75" style="1945" customWidth="1"/>
    <col min="8972" max="8973" width="10.75" style="1945" customWidth="1"/>
    <col min="8974" max="8974" width="10" style="1945" customWidth="1"/>
    <col min="8975" max="8976" width="10.5" style="1945" customWidth="1"/>
    <col min="8977" max="8977" width="10" style="1945" customWidth="1"/>
    <col min="8978" max="8978" width="10.1296296296296" style="1945" customWidth="1"/>
    <col min="8979" max="8979" width="10" style="1945" customWidth="1"/>
    <col min="8980" max="8980" width="26.1296296296296" style="1945" customWidth="1"/>
    <col min="8981" max="9216" width="8.87962962962963" style="1945"/>
    <col min="9217" max="9217" width="9.5" style="1945" customWidth="1"/>
    <col min="9218" max="9218" width="8.87962962962963" style="1945"/>
    <col min="9219" max="9221" width="12.8796296296296" style="1945" customWidth="1"/>
    <col min="9222" max="9222" width="47.5" style="1945" customWidth="1"/>
    <col min="9223" max="9223" width="13" style="1945" customWidth="1"/>
    <col min="9224" max="9225" width="8.87962962962963" style="1945"/>
    <col min="9226" max="9226" width="5.75" style="1945" customWidth="1"/>
    <col min="9227" max="9227" width="11.75" style="1945" customWidth="1"/>
    <col min="9228" max="9229" width="10.75" style="1945" customWidth="1"/>
    <col min="9230" max="9230" width="10" style="1945" customWidth="1"/>
    <col min="9231" max="9232" width="10.5" style="1945" customWidth="1"/>
    <col min="9233" max="9233" width="10" style="1945" customWidth="1"/>
    <col min="9234" max="9234" width="10.1296296296296" style="1945" customWidth="1"/>
    <col min="9235" max="9235" width="10" style="1945" customWidth="1"/>
    <col min="9236" max="9236" width="26.1296296296296" style="1945" customWidth="1"/>
    <col min="9237" max="9472" width="8.87962962962963" style="1945"/>
    <col min="9473" max="9473" width="9.5" style="1945" customWidth="1"/>
    <col min="9474" max="9474" width="8.87962962962963" style="1945"/>
    <col min="9475" max="9477" width="12.8796296296296" style="1945" customWidth="1"/>
    <col min="9478" max="9478" width="47.5" style="1945" customWidth="1"/>
    <col min="9479" max="9479" width="13" style="1945" customWidth="1"/>
    <col min="9480" max="9481" width="8.87962962962963" style="1945"/>
    <col min="9482" max="9482" width="5.75" style="1945" customWidth="1"/>
    <col min="9483" max="9483" width="11.75" style="1945" customWidth="1"/>
    <col min="9484" max="9485" width="10.75" style="1945" customWidth="1"/>
    <col min="9486" max="9486" width="10" style="1945" customWidth="1"/>
    <col min="9487" max="9488" width="10.5" style="1945" customWidth="1"/>
    <col min="9489" max="9489" width="10" style="1945" customWidth="1"/>
    <col min="9490" max="9490" width="10.1296296296296" style="1945" customWidth="1"/>
    <col min="9491" max="9491" width="10" style="1945" customWidth="1"/>
    <col min="9492" max="9492" width="26.1296296296296" style="1945" customWidth="1"/>
    <col min="9493" max="9728" width="8.87962962962963" style="1945"/>
    <col min="9729" max="9729" width="9.5" style="1945" customWidth="1"/>
    <col min="9730" max="9730" width="8.87962962962963" style="1945"/>
    <col min="9731" max="9733" width="12.8796296296296" style="1945" customWidth="1"/>
    <col min="9734" max="9734" width="47.5" style="1945" customWidth="1"/>
    <col min="9735" max="9735" width="13" style="1945" customWidth="1"/>
    <col min="9736" max="9737" width="8.87962962962963" style="1945"/>
    <col min="9738" max="9738" width="5.75" style="1945" customWidth="1"/>
    <col min="9739" max="9739" width="11.75" style="1945" customWidth="1"/>
    <col min="9740" max="9741" width="10.75" style="1945" customWidth="1"/>
    <col min="9742" max="9742" width="10" style="1945" customWidth="1"/>
    <col min="9743" max="9744" width="10.5" style="1945" customWidth="1"/>
    <col min="9745" max="9745" width="10" style="1945" customWidth="1"/>
    <col min="9746" max="9746" width="10.1296296296296" style="1945" customWidth="1"/>
    <col min="9747" max="9747" width="10" style="1945" customWidth="1"/>
    <col min="9748" max="9748" width="26.1296296296296" style="1945" customWidth="1"/>
    <col min="9749" max="9984" width="8.87962962962963" style="1945"/>
    <col min="9985" max="9985" width="9.5" style="1945" customWidth="1"/>
    <col min="9986" max="9986" width="8.87962962962963" style="1945"/>
    <col min="9987" max="9989" width="12.8796296296296" style="1945" customWidth="1"/>
    <col min="9990" max="9990" width="47.5" style="1945" customWidth="1"/>
    <col min="9991" max="9991" width="13" style="1945" customWidth="1"/>
    <col min="9992" max="9993" width="8.87962962962963" style="1945"/>
    <col min="9994" max="9994" width="5.75" style="1945" customWidth="1"/>
    <col min="9995" max="9995" width="11.75" style="1945" customWidth="1"/>
    <col min="9996" max="9997" width="10.75" style="1945" customWidth="1"/>
    <col min="9998" max="9998" width="10" style="1945" customWidth="1"/>
    <col min="9999" max="10000" width="10.5" style="1945" customWidth="1"/>
    <col min="10001" max="10001" width="10" style="1945" customWidth="1"/>
    <col min="10002" max="10002" width="10.1296296296296" style="1945" customWidth="1"/>
    <col min="10003" max="10003" width="10" style="1945" customWidth="1"/>
    <col min="10004" max="10004" width="26.1296296296296" style="1945" customWidth="1"/>
    <col min="10005" max="10240" width="8.87962962962963" style="1945"/>
    <col min="10241" max="10241" width="9.5" style="1945" customWidth="1"/>
    <col min="10242" max="10242" width="8.87962962962963" style="1945"/>
    <col min="10243" max="10245" width="12.8796296296296" style="1945" customWidth="1"/>
    <col min="10246" max="10246" width="47.5" style="1945" customWidth="1"/>
    <col min="10247" max="10247" width="13" style="1945" customWidth="1"/>
    <col min="10248" max="10249" width="8.87962962962963" style="1945"/>
    <col min="10250" max="10250" width="5.75" style="1945" customWidth="1"/>
    <col min="10251" max="10251" width="11.75" style="1945" customWidth="1"/>
    <col min="10252" max="10253" width="10.75" style="1945" customWidth="1"/>
    <col min="10254" max="10254" width="10" style="1945" customWidth="1"/>
    <col min="10255" max="10256" width="10.5" style="1945" customWidth="1"/>
    <col min="10257" max="10257" width="10" style="1945" customWidth="1"/>
    <col min="10258" max="10258" width="10.1296296296296" style="1945" customWidth="1"/>
    <col min="10259" max="10259" width="10" style="1945" customWidth="1"/>
    <col min="10260" max="10260" width="26.1296296296296" style="1945" customWidth="1"/>
    <col min="10261" max="10496" width="8.87962962962963" style="1945"/>
    <col min="10497" max="10497" width="9.5" style="1945" customWidth="1"/>
    <col min="10498" max="10498" width="8.87962962962963" style="1945"/>
    <col min="10499" max="10501" width="12.8796296296296" style="1945" customWidth="1"/>
    <col min="10502" max="10502" width="47.5" style="1945" customWidth="1"/>
    <col min="10503" max="10503" width="13" style="1945" customWidth="1"/>
    <col min="10504" max="10505" width="8.87962962962963" style="1945"/>
    <col min="10506" max="10506" width="5.75" style="1945" customWidth="1"/>
    <col min="10507" max="10507" width="11.75" style="1945" customWidth="1"/>
    <col min="10508" max="10509" width="10.75" style="1945" customWidth="1"/>
    <col min="10510" max="10510" width="10" style="1945" customWidth="1"/>
    <col min="10511" max="10512" width="10.5" style="1945" customWidth="1"/>
    <col min="10513" max="10513" width="10" style="1945" customWidth="1"/>
    <col min="10514" max="10514" width="10.1296296296296" style="1945" customWidth="1"/>
    <col min="10515" max="10515" width="10" style="1945" customWidth="1"/>
    <col min="10516" max="10516" width="26.1296296296296" style="1945" customWidth="1"/>
    <col min="10517" max="10752" width="8.87962962962963" style="1945"/>
    <col min="10753" max="10753" width="9.5" style="1945" customWidth="1"/>
    <col min="10754" max="10754" width="8.87962962962963" style="1945"/>
    <col min="10755" max="10757" width="12.8796296296296" style="1945" customWidth="1"/>
    <col min="10758" max="10758" width="47.5" style="1945" customWidth="1"/>
    <col min="10759" max="10759" width="13" style="1945" customWidth="1"/>
    <col min="10760" max="10761" width="8.87962962962963" style="1945"/>
    <col min="10762" max="10762" width="5.75" style="1945" customWidth="1"/>
    <col min="10763" max="10763" width="11.75" style="1945" customWidth="1"/>
    <col min="10764" max="10765" width="10.75" style="1945" customWidth="1"/>
    <col min="10766" max="10766" width="10" style="1945" customWidth="1"/>
    <col min="10767" max="10768" width="10.5" style="1945" customWidth="1"/>
    <col min="10769" max="10769" width="10" style="1945" customWidth="1"/>
    <col min="10770" max="10770" width="10.1296296296296" style="1945" customWidth="1"/>
    <col min="10771" max="10771" width="10" style="1945" customWidth="1"/>
    <col min="10772" max="10772" width="26.1296296296296" style="1945" customWidth="1"/>
    <col min="10773" max="11008" width="8.87962962962963" style="1945"/>
    <col min="11009" max="11009" width="9.5" style="1945" customWidth="1"/>
    <col min="11010" max="11010" width="8.87962962962963" style="1945"/>
    <col min="11011" max="11013" width="12.8796296296296" style="1945" customWidth="1"/>
    <col min="11014" max="11014" width="47.5" style="1945" customWidth="1"/>
    <col min="11015" max="11015" width="13" style="1945" customWidth="1"/>
    <col min="11016" max="11017" width="8.87962962962963" style="1945"/>
    <col min="11018" max="11018" width="5.75" style="1945" customWidth="1"/>
    <col min="11019" max="11019" width="11.75" style="1945" customWidth="1"/>
    <col min="11020" max="11021" width="10.75" style="1945" customWidth="1"/>
    <col min="11022" max="11022" width="10" style="1945" customWidth="1"/>
    <col min="11023" max="11024" width="10.5" style="1945" customWidth="1"/>
    <col min="11025" max="11025" width="10" style="1945" customWidth="1"/>
    <col min="11026" max="11026" width="10.1296296296296" style="1945" customWidth="1"/>
    <col min="11027" max="11027" width="10" style="1945" customWidth="1"/>
    <col min="11028" max="11028" width="26.1296296296296" style="1945" customWidth="1"/>
    <col min="11029" max="11264" width="8.87962962962963" style="1945"/>
    <col min="11265" max="11265" width="9.5" style="1945" customWidth="1"/>
    <col min="11266" max="11266" width="8.87962962962963" style="1945"/>
    <col min="11267" max="11269" width="12.8796296296296" style="1945" customWidth="1"/>
    <col min="11270" max="11270" width="47.5" style="1945" customWidth="1"/>
    <col min="11271" max="11271" width="13" style="1945" customWidth="1"/>
    <col min="11272" max="11273" width="8.87962962962963" style="1945"/>
    <col min="11274" max="11274" width="5.75" style="1945" customWidth="1"/>
    <col min="11275" max="11275" width="11.75" style="1945" customWidth="1"/>
    <col min="11276" max="11277" width="10.75" style="1945" customWidth="1"/>
    <col min="11278" max="11278" width="10" style="1945" customWidth="1"/>
    <col min="11279" max="11280" width="10.5" style="1945" customWidth="1"/>
    <col min="11281" max="11281" width="10" style="1945" customWidth="1"/>
    <col min="11282" max="11282" width="10.1296296296296" style="1945" customWidth="1"/>
    <col min="11283" max="11283" width="10" style="1945" customWidth="1"/>
    <col min="11284" max="11284" width="26.1296296296296" style="1945" customWidth="1"/>
    <col min="11285" max="11520" width="8.87962962962963" style="1945"/>
    <col min="11521" max="11521" width="9.5" style="1945" customWidth="1"/>
    <col min="11522" max="11522" width="8.87962962962963" style="1945"/>
    <col min="11523" max="11525" width="12.8796296296296" style="1945" customWidth="1"/>
    <col min="11526" max="11526" width="47.5" style="1945" customWidth="1"/>
    <col min="11527" max="11527" width="13" style="1945" customWidth="1"/>
    <col min="11528" max="11529" width="8.87962962962963" style="1945"/>
    <col min="11530" max="11530" width="5.75" style="1945" customWidth="1"/>
    <col min="11531" max="11531" width="11.75" style="1945" customWidth="1"/>
    <col min="11532" max="11533" width="10.75" style="1945" customWidth="1"/>
    <col min="11534" max="11534" width="10" style="1945" customWidth="1"/>
    <col min="11535" max="11536" width="10.5" style="1945" customWidth="1"/>
    <col min="11537" max="11537" width="10" style="1945" customWidth="1"/>
    <col min="11538" max="11538" width="10.1296296296296" style="1945" customWidth="1"/>
    <col min="11539" max="11539" width="10" style="1945" customWidth="1"/>
    <col min="11540" max="11540" width="26.1296296296296" style="1945" customWidth="1"/>
    <col min="11541" max="11776" width="8.87962962962963" style="1945"/>
    <col min="11777" max="11777" width="9.5" style="1945" customWidth="1"/>
    <col min="11778" max="11778" width="8.87962962962963" style="1945"/>
    <col min="11779" max="11781" width="12.8796296296296" style="1945" customWidth="1"/>
    <col min="11782" max="11782" width="47.5" style="1945" customWidth="1"/>
    <col min="11783" max="11783" width="13" style="1945" customWidth="1"/>
    <col min="11784" max="11785" width="8.87962962962963" style="1945"/>
    <col min="11786" max="11786" width="5.75" style="1945" customWidth="1"/>
    <col min="11787" max="11787" width="11.75" style="1945" customWidth="1"/>
    <col min="11788" max="11789" width="10.75" style="1945" customWidth="1"/>
    <col min="11790" max="11790" width="10" style="1945" customWidth="1"/>
    <col min="11791" max="11792" width="10.5" style="1945" customWidth="1"/>
    <col min="11793" max="11793" width="10" style="1945" customWidth="1"/>
    <col min="11794" max="11794" width="10.1296296296296" style="1945" customWidth="1"/>
    <col min="11795" max="11795" width="10" style="1945" customWidth="1"/>
    <col min="11796" max="11796" width="26.1296296296296" style="1945" customWidth="1"/>
    <col min="11797" max="12032" width="8.87962962962963" style="1945"/>
    <col min="12033" max="12033" width="9.5" style="1945" customWidth="1"/>
    <col min="12034" max="12034" width="8.87962962962963" style="1945"/>
    <col min="12035" max="12037" width="12.8796296296296" style="1945" customWidth="1"/>
    <col min="12038" max="12038" width="47.5" style="1945" customWidth="1"/>
    <col min="12039" max="12039" width="13" style="1945" customWidth="1"/>
    <col min="12040" max="12041" width="8.87962962962963" style="1945"/>
    <col min="12042" max="12042" width="5.75" style="1945" customWidth="1"/>
    <col min="12043" max="12043" width="11.75" style="1945" customWidth="1"/>
    <col min="12044" max="12045" width="10.75" style="1945" customWidth="1"/>
    <col min="12046" max="12046" width="10" style="1945" customWidth="1"/>
    <col min="12047" max="12048" width="10.5" style="1945" customWidth="1"/>
    <col min="12049" max="12049" width="10" style="1945" customWidth="1"/>
    <col min="12050" max="12050" width="10.1296296296296" style="1945" customWidth="1"/>
    <col min="12051" max="12051" width="10" style="1945" customWidth="1"/>
    <col min="12052" max="12052" width="26.1296296296296" style="1945" customWidth="1"/>
    <col min="12053" max="12288" width="8.87962962962963" style="1945"/>
    <col min="12289" max="12289" width="9.5" style="1945" customWidth="1"/>
    <col min="12290" max="12290" width="8.87962962962963" style="1945"/>
    <col min="12291" max="12293" width="12.8796296296296" style="1945" customWidth="1"/>
    <col min="12294" max="12294" width="47.5" style="1945" customWidth="1"/>
    <col min="12295" max="12295" width="13" style="1945" customWidth="1"/>
    <col min="12296" max="12297" width="8.87962962962963" style="1945"/>
    <col min="12298" max="12298" width="5.75" style="1945" customWidth="1"/>
    <col min="12299" max="12299" width="11.75" style="1945" customWidth="1"/>
    <col min="12300" max="12301" width="10.75" style="1945" customWidth="1"/>
    <col min="12302" max="12302" width="10" style="1945" customWidth="1"/>
    <col min="12303" max="12304" width="10.5" style="1945" customWidth="1"/>
    <col min="12305" max="12305" width="10" style="1945" customWidth="1"/>
    <col min="12306" max="12306" width="10.1296296296296" style="1945" customWidth="1"/>
    <col min="12307" max="12307" width="10" style="1945" customWidth="1"/>
    <col min="12308" max="12308" width="26.1296296296296" style="1945" customWidth="1"/>
    <col min="12309" max="12544" width="8.87962962962963" style="1945"/>
    <col min="12545" max="12545" width="9.5" style="1945" customWidth="1"/>
    <col min="12546" max="12546" width="8.87962962962963" style="1945"/>
    <col min="12547" max="12549" width="12.8796296296296" style="1945" customWidth="1"/>
    <col min="12550" max="12550" width="47.5" style="1945" customWidth="1"/>
    <col min="12551" max="12551" width="13" style="1945" customWidth="1"/>
    <col min="12552" max="12553" width="8.87962962962963" style="1945"/>
    <col min="12554" max="12554" width="5.75" style="1945" customWidth="1"/>
    <col min="12555" max="12555" width="11.75" style="1945" customWidth="1"/>
    <col min="12556" max="12557" width="10.75" style="1945" customWidth="1"/>
    <col min="12558" max="12558" width="10" style="1945" customWidth="1"/>
    <col min="12559" max="12560" width="10.5" style="1945" customWidth="1"/>
    <col min="12561" max="12561" width="10" style="1945" customWidth="1"/>
    <col min="12562" max="12562" width="10.1296296296296" style="1945" customWidth="1"/>
    <col min="12563" max="12563" width="10" style="1945" customWidth="1"/>
    <col min="12564" max="12564" width="26.1296296296296" style="1945" customWidth="1"/>
    <col min="12565" max="12800" width="8.87962962962963" style="1945"/>
    <col min="12801" max="12801" width="9.5" style="1945" customWidth="1"/>
    <col min="12802" max="12802" width="8.87962962962963" style="1945"/>
    <col min="12803" max="12805" width="12.8796296296296" style="1945" customWidth="1"/>
    <col min="12806" max="12806" width="47.5" style="1945" customWidth="1"/>
    <col min="12807" max="12807" width="13" style="1945" customWidth="1"/>
    <col min="12808" max="12809" width="8.87962962962963" style="1945"/>
    <col min="12810" max="12810" width="5.75" style="1945" customWidth="1"/>
    <col min="12811" max="12811" width="11.75" style="1945" customWidth="1"/>
    <col min="12812" max="12813" width="10.75" style="1945" customWidth="1"/>
    <col min="12814" max="12814" width="10" style="1945" customWidth="1"/>
    <col min="12815" max="12816" width="10.5" style="1945" customWidth="1"/>
    <col min="12817" max="12817" width="10" style="1945" customWidth="1"/>
    <col min="12818" max="12818" width="10.1296296296296" style="1945" customWidth="1"/>
    <col min="12819" max="12819" width="10" style="1945" customWidth="1"/>
    <col min="12820" max="12820" width="26.1296296296296" style="1945" customWidth="1"/>
    <col min="12821" max="13056" width="8.87962962962963" style="1945"/>
    <col min="13057" max="13057" width="9.5" style="1945" customWidth="1"/>
    <col min="13058" max="13058" width="8.87962962962963" style="1945"/>
    <col min="13059" max="13061" width="12.8796296296296" style="1945" customWidth="1"/>
    <col min="13062" max="13062" width="47.5" style="1945" customWidth="1"/>
    <col min="13063" max="13063" width="13" style="1945" customWidth="1"/>
    <col min="13064" max="13065" width="8.87962962962963" style="1945"/>
    <col min="13066" max="13066" width="5.75" style="1945" customWidth="1"/>
    <col min="13067" max="13067" width="11.75" style="1945" customWidth="1"/>
    <col min="13068" max="13069" width="10.75" style="1945" customWidth="1"/>
    <col min="13070" max="13070" width="10" style="1945" customWidth="1"/>
    <col min="13071" max="13072" width="10.5" style="1945" customWidth="1"/>
    <col min="13073" max="13073" width="10" style="1945" customWidth="1"/>
    <col min="13074" max="13074" width="10.1296296296296" style="1945" customWidth="1"/>
    <col min="13075" max="13075" width="10" style="1945" customWidth="1"/>
    <col min="13076" max="13076" width="26.1296296296296" style="1945" customWidth="1"/>
    <col min="13077" max="13312" width="8.87962962962963" style="1945"/>
    <col min="13313" max="13313" width="9.5" style="1945" customWidth="1"/>
    <col min="13314" max="13314" width="8.87962962962963" style="1945"/>
    <col min="13315" max="13317" width="12.8796296296296" style="1945" customWidth="1"/>
    <col min="13318" max="13318" width="47.5" style="1945" customWidth="1"/>
    <col min="13319" max="13319" width="13" style="1945" customWidth="1"/>
    <col min="13320" max="13321" width="8.87962962962963" style="1945"/>
    <col min="13322" max="13322" width="5.75" style="1945" customWidth="1"/>
    <col min="13323" max="13323" width="11.75" style="1945" customWidth="1"/>
    <col min="13324" max="13325" width="10.75" style="1945" customWidth="1"/>
    <col min="13326" max="13326" width="10" style="1945" customWidth="1"/>
    <col min="13327" max="13328" width="10.5" style="1945" customWidth="1"/>
    <col min="13329" max="13329" width="10" style="1945" customWidth="1"/>
    <col min="13330" max="13330" width="10.1296296296296" style="1945" customWidth="1"/>
    <col min="13331" max="13331" width="10" style="1945" customWidth="1"/>
    <col min="13332" max="13332" width="26.1296296296296" style="1945" customWidth="1"/>
    <col min="13333" max="13568" width="8.87962962962963" style="1945"/>
    <col min="13569" max="13569" width="9.5" style="1945" customWidth="1"/>
    <col min="13570" max="13570" width="8.87962962962963" style="1945"/>
    <col min="13571" max="13573" width="12.8796296296296" style="1945" customWidth="1"/>
    <col min="13574" max="13574" width="47.5" style="1945" customWidth="1"/>
    <col min="13575" max="13575" width="13" style="1945" customWidth="1"/>
    <col min="13576" max="13577" width="8.87962962962963" style="1945"/>
    <col min="13578" max="13578" width="5.75" style="1945" customWidth="1"/>
    <col min="13579" max="13579" width="11.75" style="1945" customWidth="1"/>
    <col min="13580" max="13581" width="10.75" style="1945" customWidth="1"/>
    <col min="13582" max="13582" width="10" style="1945" customWidth="1"/>
    <col min="13583" max="13584" width="10.5" style="1945" customWidth="1"/>
    <col min="13585" max="13585" width="10" style="1945" customWidth="1"/>
    <col min="13586" max="13586" width="10.1296296296296" style="1945" customWidth="1"/>
    <col min="13587" max="13587" width="10" style="1945" customWidth="1"/>
    <col min="13588" max="13588" width="26.1296296296296" style="1945" customWidth="1"/>
    <col min="13589" max="13824" width="8.87962962962963" style="1945"/>
    <col min="13825" max="13825" width="9.5" style="1945" customWidth="1"/>
    <col min="13826" max="13826" width="8.87962962962963" style="1945"/>
    <col min="13827" max="13829" width="12.8796296296296" style="1945" customWidth="1"/>
    <col min="13830" max="13830" width="47.5" style="1945" customWidth="1"/>
    <col min="13831" max="13831" width="13" style="1945" customWidth="1"/>
    <col min="13832" max="13833" width="8.87962962962963" style="1945"/>
    <col min="13834" max="13834" width="5.75" style="1945" customWidth="1"/>
    <col min="13835" max="13835" width="11.75" style="1945" customWidth="1"/>
    <col min="13836" max="13837" width="10.75" style="1945" customWidth="1"/>
    <col min="13838" max="13838" width="10" style="1945" customWidth="1"/>
    <col min="13839" max="13840" width="10.5" style="1945" customWidth="1"/>
    <col min="13841" max="13841" width="10" style="1945" customWidth="1"/>
    <col min="13842" max="13842" width="10.1296296296296" style="1945" customWidth="1"/>
    <col min="13843" max="13843" width="10" style="1945" customWidth="1"/>
    <col min="13844" max="13844" width="26.1296296296296" style="1945" customWidth="1"/>
    <col min="13845" max="14080" width="8.87962962962963" style="1945"/>
    <col min="14081" max="14081" width="9.5" style="1945" customWidth="1"/>
    <col min="14082" max="14082" width="8.87962962962963" style="1945"/>
    <col min="14083" max="14085" width="12.8796296296296" style="1945" customWidth="1"/>
    <col min="14086" max="14086" width="47.5" style="1945" customWidth="1"/>
    <col min="14087" max="14087" width="13" style="1945" customWidth="1"/>
    <col min="14088" max="14089" width="8.87962962962963" style="1945"/>
    <col min="14090" max="14090" width="5.75" style="1945" customWidth="1"/>
    <col min="14091" max="14091" width="11.75" style="1945" customWidth="1"/>
    <col min="14092" max="14093" width="10.75" style="1945" customWidth="1"/>
    <col min="14094" max="14094" width="10" style="1945" customWidth="1"/>
    <col min="14095" max="14096" width="10.5" style="1945" customWidth="1"/>
    <col min="14097" max="14097" width="10" style="1945" customWidth="1"/>
    <col min="14098" max="14098" width="10.1296296296296" style="1945" customWidth="1"/>
    <col min="14099" max="14099" width="10" style="1945" customWidth="1"/>
    <col min="14100" max="14100" width="26.1296296296296" style="1945" customWidth="1"/>
    <col min="14101" max="14336" width="8.87962962962963" style="1945"/>
    <col min="14337" max="14337" width="9.5" style="1945" customWidth="1"/>
    <col min="14338" max="14338" width="8.87962962962963" style="1945"/>
    <col min="14339" max="14341" width="12.8796296296296" style="1945" customWidth="1"/>
    <col min="14342" max="14342" width="47.5" style="1945" customWidth="1"/>
    <col min="14343" max="14343" width="13" style="1945" customWidth="1"/>
    <col min="14344" max="14345" width="8.87962962962963" style="1945"/>
    <col min="14346" max="14346" width="5.75" style="1945" customWidth="1"/>
    <col min="14347" max="14347" width="11.75" style="1945" customWidth="1"/>
    <col min="14348" max="14349" width="10.75" style="1945" customWidth="1"/>
    <col min="14350" max="14350" width="10" style="1945" customWidth="1"/>
    <col min="14351" max="14352" width="10.5" style="1945" customWidth="1"/>
    <col min="14353" max="14353" width="10" style="1945" customWidth="1"/>
    <col min="14354" max="14354" width="10.1296296296296" style="1945" customWidth="1"/>
    <col min="14355" max="14355" width="10" style="1945" customWidth="1"/>
    <col min="14356" max="14356" width="26.1296296296296" style="1945" customWidth="1"/>
    <col min="14357" max="14592" width="8.87962962962963" style="1945"/>
    <col min="14593" max="14593" width="9.5" style="1945" customWidth="1"/>
    <col min="14594" max="14594" width="8.87962962962963" style="1945"/>
    <col min="14595" max="14597" width="12.8796296296296" style="1945" customWidth="1"/>
    <col min="14598" max="14598" width="47.5" style="1945" customWidth="1"/>
    <col min="14599" max="14599" width="13" style="1945" customWidth="1"/>
    <col min="14600" max="14601" width="8.87962962962963" style="1945"/>
    <col min="14602" max="14602" width="5.75" style="1945" customWidth="1"/>
    <col min="14603" max="14603" width="11.75" style="1945" customWidth="1"/>
    <col min="14604" max="14605" width="10.75" style="1945" customWidth="1"/>
    <col min="14606" max="14606" width="10" style="1945" customWidth="1"/>
    <col min="14607" max="14608" width="10.5" style="1945" customWidth="1"/>
    <col min="14609" max="14609" width="10" style="1945" customWidth="1"/>
    <col min="14610" max="14610" width="10.1296296296296" style="1945" customWidth="1"/>
    <col min="14611" max="14611" width="10" style="1945" customWidth="1"/>
    <col min="14612" max="14612" width="26.1296296296296" style="1945" customWidth="1"/>
    <col min="14613" max="14848" width="8.87962962962963" style="1945"/>
    <col min="14849" max="14849" width="9.5" style="1945" customWidth="1"/>
    <col min="14850" max="14850" width="8.87962962962963" style="1945"/>
    <col min="14851" max="14853" width="12.8796296296296" style="1945" customWidth="1"/>
    <col min="14854" max="14854" width="47.5" style="1945" customWidth="1"/>
    <col min="14855" max="14855" width="13" style="1945" customWidth="1"/>
    <col min="14856" max="14857" width="8.87962962962963" style="1945"/>
    <col min="14858" max="14858" width="5.75" style="1945" customWidth="1"/>
    <col min="14859" max="14859" width="11.75" style="1945" customWidth="1"/>
    <col min="14860" max="14861" width="10.75" style="1945" customWidth="1"/>
    <col min="14862" max="14862" width="10" style="1945" customWidth="1"/>
    <col min="14863" max="14864" width="10.5" style="1945" customWidth="1"/>
    <col min="14865" max="14865" width="10" style="1945" customWidth="1"/>
    <col min="14866" max="14866" width="10.1296296296296" style="1945" customWidth="1"/>
    <col min="14867" max="14867" width="10" style="1945" customWidth="1"/>
    <col min="14868" max="14868" width="26.1296296296296" style="1945" customWidth="1"/>
    <col min="14869" max="15104" width="8.87962962962963" style="1945"/>
    <col min="15105" max="15105" width="9.5" style="1945" customWidth="1"/>
    <col min="15106" max="15106" width="8.87962962962963" style="1945"/>
    <col min="15107" max="15109" width="12.8796296296296" style="1945" customWidth="1"/>
    <col min="15110" max="15110" width="47.5" style="1945" customWidth="1"/>
    <col min="15111" max="15111" width="13" style="1945" customWidth="1"/>
    <col min="15112" max="15113" width="8.87962962962963" style="1945"/>
    <col min="15114" max="15114" width="5.75" style="1945" customWidth="1"/>
    <col min="15115" max="15115" width="11.75" style="1945" customWidth="1"/>
    <col min="15116" max="15117" width="10.75" style="1945" customWidth="1"/>
    <col min="15118" max="15118" width="10" style="1945" customWidth="1"/>
    <col min="15119" max="15120" width="10.5" style="1945" customWidth="1"/>
    <col min="15121" max="15121" width="10" style="1945" customWidth="1"/>
    <col min="15122" max="15122" width="10.1296296296296" style="1945" customWidth="1"/>
    <col min="15123" max="15123" width="10" style="1945" customWidth="1"/>
    <col min="15124" max="15124" width="26.1296296296296" style="1945" customWidth="1"/>
    <col min="15125" max="15360" width="8.87962962962963" style="1945"/>
    <col min="15361" max="15361" width="9.5" style="1945" customWidth="1"/>
    <col min="15362" max="15362" width="8.87962962962963" style="1945"/>
    <col min="15363" max="15365" width="12.8796296296296" style="1945" customWidth="1"/>
    <col min="15366" max="15366" width="47.5" style="1945" customWidth="1"/>
    <col min="15367" max="15367" width="13" style="1945" customWidth="1"/>
    <col min="15368" max="15369" width="8.87962962962963" style="1945"/>
    <col min="15370" max="15370" width="5.75" style="1945" customWidth="1"/>
    <col min="15371" max="15371" width="11.75" style="1945" customWidth="1"/>
    <col min="15372" max="15373" width="10.75" style="1945" customWidth="1"/>
    <col min="15374" max="15374" width="10" style="1945" customWidth="1"/>
    <col min="15375" max="15376" width="10.5" style="1945" customWidth="1"/>
    <col min="15377" max="15377" width="10" style="1945" customWidth="1"/>
    <col min="15378" max="15378" width="10.1296296296296" style="1945" customWidth="1"/>
    <col min="15379" max="15379" width="10" style="1945" customWidth="1"/>
    <col min="15380" max="15380" width="26.1296296296296" style="1945" customWidth="1"/>
    <col min="15381" max="15616" width="8.87962962962963" style="1945"/>
    <col min="15617" max="15617" width="9.5" style="1945" customWidth="1"/>
    <col min="15618" max="15618" width="8.87962962962963" style="1945"/>
    <col min="15619" max="15621" width="12.8796296296296" style="1945" customWidth="1"/>
    <col min="15622" max="15622" width="47.5" style="1945" customWidth="1"/>
    <col min="15623" max="15623" width="13" style="1945" customWidth="1"/>
    <col min="15624" max="15625" width="8.87962962962963" style="1945"/>
    <col min="15626" max="15626" width="5.75" style="1945" customWidth="1"/>
    <col min="15627" max="15627" width="11.75" style="1945" customWidth="1"/>
    <col min="15628" max="15629" width="10.75" style="1945" customWidth="1"/>
    <col min="15630" max="15630" width="10" style="1945" customWidth="1"/>
    <col min="15631" max="15632" width="10.5" style="1945" customWidth="1"/>
    <col min="15633" max="15633" width="10" style="1945" customWidth="1"/>
    <col min="15634" max="15634" width="10.1296296296296" style="1945" customWidth="1"/>
    <col min="15635" max="15635" width="10" style="1945" customWidth="1"/>
    <col min="15636" max="15636" width="26.1296296296296" style="1945" customWidth="1"/>
    <col min="15637" max="15872" width="8.87962962962963" style="1945"/>
    <col min="15873" max="15873" width="9.5" style="1945" customWidth="1"/>
    <col min="15874" max="15874" width="8.87962962962963" style="1945"/>
    <col min="15875" max="15877" width="12.8796296296296" style="1945" customWidth="1"/>
    <col min="15878" max="15878" width="47.5" style="1945" customWidth="1"/>
    <col min="15879" max="15879" width="13" style="1945" customWidth="1"/>
    <col min="15880" max="15881" width="8.87962962962963" style="1945"/>
    <col min="15882" max="15882" width="5.75" style="1945" customWidth="1"/>
    <col min="15883" max="15883" width="11.75" style="1945" customWidth="1"/>
    <col min="15884" max="15885" width="10.75" style="1945" customWidth="1"/>
    <col min="15886" max="15886" width="10" style="1945" customWidth="1"/>
    <col min="15887" max="15888" width="10.5" style="1945" customWidth="1"/>
    <col min="15889" max="15889" width="10" style="1945" customWidth="1"/>
    <col min="15890" max="15890" width="10.1296296296296" style="1945" customWidth="1"/>
    <col min="15891" max="15891" width="10" style="1945" customWidth="1"/>
    <col min="15892" max="15892" width="26.1296296296296" style="1945" customWidth="1"/>
    <col min="15893" max="16128" width="8.87962962962963" style="1945"/>
    <col min="16129" max="16129" width="9.5" style="1945" customWidth="1"/>
    <col min="16130" max="16130" width="8.87962962962963" style="1945"/>
    <col min="16131" max="16133" width="12.8796296296296" style="1945" customWidth="1"/>
    <col min="16134" max="16134" width="47.5" style="1945" customWidth="1"/>
    <col min="16135" max="16135" width="13" style="1945" customWidth="1"/>
    <col min="16136" max="16137" width="8.87962962962963" style="1945"/>
    <col min="16138" max="16138" width="5.75" style="1945" customWidth="1"/>
    <col min="16139" max="16139" width="11.75" style="1945" customWidth="1"/>
    <col min="16140" max="16141" width="10.75" style="1945" customWidth="1"/>
    <col min="16142" max="16142" width="10" style="1945" customWidth="1"/>
    <col min="16143" max="16144" width="10.5" style="1945" customWidth="1"/>
    <col min="16145" max="16145" width="10" style="1945" customWidth="1"/>
    <col min="16146" max="16146" width="10.1296296296296" style="1945" customWidth="1"/>
    <col min="16147" max="16147" width="10" style="1945" customWidth="1"/>
    <col min="16148" max="16148" width="26.1296296296296" style="1945" customWidth="1"/>
    <col min="16149" max="16384" width="8.87962962962963" style="1945"/>
  </cols>
  <sheetData>
    <row r="1" ht="21" customHeight="1" spans="1:21">
      <c r="A1" s="1950" t="s">
        <v>1326</v>
      </c>
      <c r="B1" s="1951"/>
      <c r="C1" s="1952"/>
      <c r="D1" s="1952"/>
      <c r="E1" s="1953"/>
      <c r="F1" s="1954"/>
      <c r="G1" s="1955"/>
      <c r="J1" s="2062" t="s">
        <v>1327</v>
      </c>
      <c r="K1" s="2063"/>
      <c r="L1" s="2063"/>
      <c r="M1" s="2063"/>
      <c r="N1" s="2063"/>
      <c r="O1" s="2063"/>
      <c r="P1" s="2063"/>
      <c r="Q1" s="2063"/>
      <c r="R1" s="2115"/>
      <c r="S1" s="2116"/>
      <c r="T1" s="2116"/>
      <c r="U1" s="2116"/>
    </row>
    <row r="2" s="1943" customFormat="1" customHeight="1" spans="1:23">
      <c r="A2" s="1956" t="s">
        <v>1328</v>
      </c>
      <c r="B2" s="1957" t="e">
        <f>C40</f>
        <v>#DIV/0!</v>
      </c>
      <c r="C2" s="1952" t="s">
        <v>1329</v>
      </c>
      <c r="D2" s="1952"/>
      <c r="E2" s="1958"/>
      <c r="F2" s="1959"/>
      <c r="G2" s="1960"/>
      <c r="H2" s="1961"/>
      <c r="I2" s="2064"/>
      <c r="J2" s="2065" t="s">
        <v>1330</v>
      </c>
      <c r="K2" s="2066"/>
      <c r="L2" s="2067" t="s">
        <v>1331</v>
      </c>
      <c r="M2" s="2067" t="s">
        <v>1332</v>
      </c>
      <c r="N2" s="2067" t="s">
        <v>1333</v>
      </c>
      <c r="O2" s="2067" t="s">
        <v>1334</v>
      </c>
      <c r="P2" s="2067" t="s">
        <v>1335</v>
      </c>
      <c r="Q2" s="2117" t="s">
        <v>1336</v>
      </c>
      <c r="R2" s="2118" t="s">
        <v>1337</v>
      </c>
      <c r="S2" s="2116"/>
      <c r="T2" s="2116"/>
      <c r="U2" s="2116"/>
      <c r="V2" s="2064"/>
      <c r="W2" s="1961"/>
    </row>
    <row r="3" s="1943" customFormat="1" customHeight="1" spans="1:23">
      <c r="A3" s="1962" t="s">
        <v>1338</v>
      </c>
      <c r="B3" s="1963" t="e">
        <f>ROUND(B2*10000/B4,0)</f>
        <v>#DIV/0!</v>
      </c>
      <c r="C3" s="1952" t="s">
        <v>1339</v>
      </c>
      <c r="D3" s="1952"/>
      <c r="E3" s="1958"/>
      <c r="F3" s="1959"/>
      <c r="G3" s="1960"/>
      <c r="H3" s="1961"/>
      <c r="I3" s="2064"/>
      <c r="J3" s="2068" t="s">
        <v>1340</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1341</v>
      </c>
      <c r="K4" s="2069"/>
      <c r="L4" s="2071"/>
      <c r="M4" s="2071"/>
      <c r="N4" s="2071"/>
      <c r="O4" s="2071"/>
      <c r="P4" s="2071"/>
      <c r="Q4" s="2121"/>
      <c r="R4" s="2122">
        <f>SUM(L4:Q4)</f>
        <v>0</v>
      </c>
      <c r="S4" s="2116"/>
      <c r="T4" s="2116"/>
      <c r="U4" s="2116"/>
      <c r="V4" s="2064"/>
      <c r="W4" s="1961"/>
    </row>
    <row r="5" s="1943" customFormat="1" customHeight="1" spans="1:23">
      <c r="A5" s="1966" t="s">
        <v>1342</v>
      </c>
      <c r="B5" s="1967"/>
      <c r="C5" s="1952"/>
      <c r="D5" s="1968"/>
      <c r="E5" s="1959"/>
      <c r="F5" s="1959"/>
      <c r="G5" s="1960"/>
      <c r="H5" s="1961"/>
      <c r="I5" s="2064"/>
      <c r="J5" s="2072" t="s">
        <v>1343</v>
      </c>
      <c r="K5" s="2073"/>
      <c r="L5" s="2073"/>
      <c r="M5" s="2074"/>
      <c r="N5" s="2074"/>
      <c r="O5" s="2074"/>
      <c r="P5" s="2074"/>
      <c r="Q5" s="2074"/>
      <c r="R5" s="2118">
        <f>SUM(R14,R19,R24,R25,R27,R28)</f>
        <v>0</v>
      </c>
      <c r="S5" s="2116"/>
      <c r="T5" s="2116" t="s">
        <v>1344</v>
      </c>
      <c r="U5" s="2116" t="e">
        <f>ROUND(R5*10000/365/R3,1)</f>
        <v>#DIV/0!</v>
      </c>
      <c r="V5" s="2064"/>
      <c r="W5" s="1961"/>
    </row>
    <row r="6" s="1943" customFormat="1" customHeight="1" spans="1:23">
      <c r="A6" s="1969" t="s">
        <v>1345</v>
      </c>
      <c r="B6" s="1970"/>
      <c r="C6" s="1971"/>
      <c r="D6" s="1972"/>
      <c r="E6" s="1973"/>
      <c r="F6" s="1974"/>
      <c r="G6" s="1975"/>
      <c r="H6" s="1961"/>
      <c r="I6" s="2064"/>
      <c r="J6" s="2075">
        <v>1</v>
      </c>
      <c r="K6" s="2076" t="s">
        <v>1346</v>
      </c>
      <c r="L6" s="2077" t="s">
        <v>1347</v>
      </c>
      <c r="M6" s="2078" t="s">
        <v>1348</v>
      </c>
      <c r="N6" s="2078" t="s">
        <v>1349</v>
      </c>
      <c r="O6" s="2078" t="s">
        <v>1350</v>
      </c>
      <c r="P6" s="2078" t="s">
        <v>1351</v>
      </c>
      <c r="Q6" s="2078" t="s">
        <v>1352</v>
      </c>
      <c r="R6" s="2120" t="s">
        <v>1353</v>
      </c>
      <c r="S6" s="2116"/>
      <c r="T6" s="2116" t="s">
        <v>1354</v>
      </c>
      <c r="U6" s="2116"/>
      <c r="V6" s="2064"/>
      <c r="W6" s="1961"/>
    </row>
    <row r="7" s="1943" customFormat="1" customHeight="1" spans="1:23">
      <c r="A7" s="1976" t="s">
        <v>1355</v>
      </c>
      <c r="B7" s="1977"/>
      <c r="C7" s="1978"/>
      <c r="D7" s="1979">
        <f>SUM(D9,D10,D11,D17,0)</f>
        <v>0</v>
      </c>
      <c r="E7" s="1980" t="e">
        <f>E9+E10+E11+E17</f>
        <v>#DIV/0!</v>
      </c>
      <c r="F7" s="1981"/>
      <c r="G7" s="1982"/>
      <c r="H7" s="1961"/>
      <c r="I7" s="2064"/>
      <c r="J7" s="2075"/>
      <c r="K7" s="2079"/>
      <c r="L7" s="2080" t="s">
        <v>1356</v>
      </c>
      <c r="M7" s="2081"/>
      <c r="N7" s="2081"/>
      <c r="O7" s="2082"/>
      <c r="P7" s="2082"/>
      <c r="Q7" s="2090">
        <v>365</v>
      </c>
      <c r="R7" s="2123">
        <f>ROUND(M7*N7*O7*P7*Q7/10000,0)</f>
        <v>0</v>
      </c>
      <c r="S7" s="2116"/>
      <c r="T7" s="2116" t="s">
        <v>1357</v>
      </c>
      <c r="U7" s="2116"/>
      <c r="V7" s="2064"/>
      <c r="W7" s="1961"/>
    </row>
    <row r="8" s="1943" customFormat="1" customHeight="1" spans="1:23">
      <c r="A8" s="1983" t="s">
        <v>1358</v>
      </c>
      <c r="B8" s="1984" t="s">
        <v>1359</v>
      </c>
      <c r="C8" s="1985"/>
      <c r="D8" s="1986" t="s">
        <v>1360</v>
      </c>
      <c r="E8" s="1987" t="s">
        <v>1361</v>
      </c>
      <c r="F8" s="1988" t="s">
        <v>1362</v>
      </c>
      <c r="G8" s="1989" t="s">
        <v>1363</v>
      </c>
      <c r="H8" s="1961"/>
      <c r="I8" s="2064"/>
      <c r="J8" s="2075"/>
      <c r="K8" s="2079"/>
      <c r="L8" s="2080" t="s">
        <v>1364</v>
      </c>
      <c r="M8" s="2081"/>
      <c r="N8" s="2081"/>
      <c r="O8" s="2082"/>
      <c r="P8" s="2082"/>
      <c r="Q8" s="2090">
        <v>365</v>
      </c>
      <c r="R8" s="2123">
        <f t="shared" ref="R8:R13" si="0">ROUND(M8*N8*O8*P8*Q8/10000,0)</f>
        <v>0</v>
      </c>
      <c r="S8" s="2116"/>
      <c r="T8" s="2116" t="s">
        <v>1365</v>
      </c>
      <c r="U8" s="2116"/>
      <c r="V8" s="2064"/>
      <c r="W8" s="1961"/>
    </row>
    <row r="9" s="1943" customFormat="1" customHeight="1" spans="1:23">
      <c r="A9" s="1983">
        <v>1</v>
      </c>
      <c r="B9" s="1984" t="s">
        <v>1366</v>
      </c>
      <c r="C9" s="1985"/>
      <c r="D9" s="1986">
        <f>ROUND(D6*E9,0)</f>
        <v>0</v>
      </c>
      <c r="E9" s="1990"/>
      <c r="F9" s="1991" t="s">
        <v>1367</v>
      </c>
      <c r="G9" s="1992" t="s">
        <v>1368</v>
      </c>
      <c r="H9" s="1961"/>
      <c r="I9" s="2064"/>
      <c r="J9" s="2075"/>
      <c r="K9" s="2079"/>
      <c r="L9" s="2080" t="s">
        <v>1369</v>
      </c>
      <c r="M9" s="2081"/>
      <c r="N9" s="2081"/>
      <c r="O9" s="2082"/>
      <c r="P9" s="2082"/>
      <c r="Q9" s="2090">
        <v>365</v>
      </c>
      <c r="R9" s="2123">
        <f t="shared" si="0"/>
        <v>0</v>
      </c>
      <c r="S9" s="2116"/>
      <c r="T9" s="2116"/>
      <c r="U9" s="2116"/>
      <c r="V9" s="2064"/>
      <c r="W9" s="1961"/>
    </row>
    <row r="10" s="1943" customFormat="1" customHeight="1" spans="1:23">
      <c r="A10" s="1983">
        <v>2</v>
      </c>
      <c r="B10" s="1984" t="s">
        <v>1370</v>
      </c>
      <c r="C10" s="1985"/>
      <c r="D10" s="1986">
        <f>ROUND(D6*E10,0)</f>
        <v>0</v>
      </c>
      <c r="E10" s="1990"/>
      <c r="F10" s="1991" t="s">
        <v>1371</v>
      </c>
      <c r="G10" s="1992" t="s">
        <v>1372</v>
      </c>
      <c r="H10" s="1961"/>
      <c r="I10" s="2064"/>
      <c r="J10" s="2075"/>
      <c r="K10" s="2079"/>
      <c r="L10" s="2080" t="s">
        <v>1373</v>
      </c>
      <c r="M10" s="2081"/>
      <c r="N10" s="2081"/>
      <c r="O10" s="2082"/>
      <c r="P10" s="2082"/>
      <c r="Q10" s="2090">
        <v>365</v>
      </c>
      <c r="R10" s="2123">
        <f t="shared" si="0"/>
        <v>0</v>
      </c>
      <c r="S10" s="2116"/>
      <c r="T10" s="2116"/>
      <c r="U10" s="2116"/>
      <c r="V10" s="2064"/>
      <c r="W10" s="1961"/>
    </row>
    <row r="11" s="1943" customFormat="1" customHeight="1" spans="1:23">
      <c r="A11" s="1983">
        <v>3</v>
      </c>
      <c r="B11" s="1984" t="s">
        <v>1374</v>
      </c>
      <c r="C11" s="1985"/>
      <c r="D11" s="1986">
        <f>D12+D14+D15+D16</f>
        <v>0</v>
      </c>
      <c r="E11" s="1993" t="e">
        <f>D11/D6</f>
        <v>#DIV/0!</v>
      </c>
      <c r="F11" s="1988"/>
      <c r="G11" s="1992"/>
      <c r="H11" s="1961"/>
      <c r="I11" s="2064"/>
      <c r="J11" s="2075"/>
      <c r="K11" s="2079"/>
      <c r="L11" s="2080" t="s">
        <v>1375</v>
      </c>
      <c r="M11" s="2081"/>
      <c r="N11" s="2081"/>
      <c r="O11" s="2082"/>
      <c r="P11" s="2082"/>
      <c r="Q11" s="2090">
        <v>365</v>
      </c>
      <c r="R11" s="2123">
        <f t="shared" si="0"/>
        <v>0</v>
      </c>
      <c r="S11" s="2116"/>
      <c r="T11" s="2116"/>
      <c r="U11" s="2116"/>
      <c r="V11" s="2064"/>
      <c r="W11" s="1961"/>
    </row>
    <row r="12" s="1943" customFormat="1" customHeight="1" spans="1:23">
      <c r="A12" s="1994" t="s">
        <v>1376</v>
      </c>
      <c r="B12" s="1995" t="s">
        <v>1377</v>
      </c>
      <c r="C12" s="1996"/>
      <c r="D12" s="1997">
        <f>ROUND(D13*1.2%*(1-30%),0)</f>
        <v>0</v>
      </c>
      <c r="E12" s="1998">
        <v>0.012</v>
      </c>
      <c r="F12" s="1988" t="s">
        <v>1378</v>
      </c>
      <c r="G12" s="1992"/>
      <c r="H12" s="1961"/>
      <c r="I12" s="2064"/>
      <c r="J12" s="2075"/>
      <c r="K12" s="2079"/>
      <c r="L12" s="2080" t="s">
        <v>1379</v>
      </c>
      <c r="M12" s="2081"/>
      <c r="N12" s="2081"/>
      <c r="O12" s="2082"/>
      <c r="P12" s="2082"/>
      <c r="Q12" s="2090">
        <v>365</v>
      </c>
      <c r="R12" s="2123">
        <f t="shared" si="0"/>
        <v>0</v>
      </c>
      <c r="S12" s="2116"/>
      <c r="T12" s="2116"/>
      <c r="U12" s="2116"/>
      <c r="V12" s="2064"/>
      <c r="W12" s="1961"/>
    </row>
    <row r="13" s="1943" customFormat="1" customHeight="1" spans="1:23">
      <c r="A13" s="1994"/>
      <c r="B13" s="1995"/>
      <c r="C13" s="1999" t="s">
        <v>1380</v>
      </c>
      <c r="D13" s="2000"/>
      <c r="E13" s="2001"/>
      <c r="F13" s="1988"/>
      <c r="G13" s="1992"/>
      <c r="H13" s="1961"/>
      <c r="I13" s="2064"/>
      <c r="J13" s="2075"/>
      <c r="K13" s="2079"/>
      <c r="L13" s="2080" t="s">
        <v>1381</v>
      </c>
      <c r="M13" s="2081"/>
      <c r="N13" s="2081"/>
      <c r="O13" s="2082"/>
      <c r="P13" s="2082"/>
      <c r="Q13" s="2090">
        <v>365</v>
      </c>
      <c r="R13" s="2123">
        <f t="shared" si="0"/>
        <v>0</v>
      </c>
      <c r="S13" s="2116"/>
      <c r="T13" s="2116"/>
      <c r="U13" s="2116"/>
      <c r="V13" s="2064"/>
      <c r="W13" s="1961"/>
    </row>
    <row r="14" s="1943" customFormat="1" customHeight="1" spans="1:23">
      <c r="A14" s="1994" t="s">
        <v>1382</v>
      </c>
      <c r="B14" s="1995" t="s">
        <v>1383</v>
      </c>
      <c r="C14" s="1996"/>
      <c r="D14" s="1997">
        <f>ROUND(E14*B5/10000,0)</f>
        <v>0</v>
      </c>
      <c r="E14" s="2002"/>
      <c r="F14" s="1988" t="s">
        <v>1384</v>
      </c>
      <c r="G14" s="1992"/>
      <c r="H14" s="1961"/>
      <c r="I14" s="2064"/>
      <c r="J14" s="2075"/>
      <c r="K14" s="2083"/>
      <c r="L14" s="2084" t="s">
        <v>1385</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1386</v>
      </c>
      <c r="B15" s="1995" t="s">
        <v>1387</v>
      </c>
      <c r="C15" s="1996"/>
      <c r="D15" s="1997">
        <f>ROUND(D6*E15,0)</f>
        <v>0</v>
      </c>
      <c r="E15" s="1998">
        <v>0.055</v>
      </c>
      <c r="F15" s="1988" t="s">
        <v>1388</v>
      </c>
      <c r="G15" s="1992"/>
      <c r="H15" s="1961"/>
      <c r="I15" s="2064"/>
      <c r="J15" s="2075">
        <v>2</v>
      </c>
      <c r="K15" s="2076" t="s">
        <v>1389</v>
      </c>
      <c r="L15" s="2087" t="s">
        <v>1390</v>
      </c>
      <c r="M15" s="2088" t="s">
        <v>1391</v>
      </c>
      <c r="N15" s="2088" t="s">
        <v>1392</v>
      </c>
      <c r="O15" s="2089" t="s">
        <v>1393</v>
      </c>
      <c r="P15" s="2089" t="s">
        <v>1352</v>
      </c>
      <c r="Q15" s="1965" t="s">
        <v>121</v>
      </c>
      <c r="R15" s="2125" t="s">
        <v>1353</v>
      </c>
      <c r="S15" s="2116"/>
      <c r="T15" s="2116"/>
      <c r="U15" s="2116"/>
      <c r="V15" s="2064"/>
      <c r="W15" s="1961"/>
    </row>
    <row r="16" s="1943" customFormat="1" customHeight="1" spans="1:23">
      <c r="A16" s="1994" t="s">
        <v>1394</v>
      </c>
      <c r="B16" s="1995" t="s">
        <v>1395</v>
      </c>
      <c r="C16" s="1996"/>
      <c r="D16" s="2003">
        <f>D6*E16</f>
        <v>0</v>
      </c>
      <c r="E16" s="2004"/>
      <c r="F16" s="1991" t="s">
        <v>1396</v>
      </c>
      <c r="G16" s="1992"/>
      <c r="H16" s="1961"/>
      <c r="I16" s="2064"/>
      <c r="J16" s="2075"/>
      <c r="K16" s="2079"/>
      <c r="L16" s="2080" t="s">
        <v>1397</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1398</v>
      </c>
      <c r="C17" s="2007"/>
      <c r="D17" s="2008">
        <f>ROUND(D6*E17,0)</f>
        <v>0</v>
      </c>
      <c r="E17" s="2009"/>
      <c r="F17" s="2010" t="s">
        <v>1399</v>
      </c>
      <c r="G17" s="2011">
        <v>0.1</v>
      </c>
      <c r="H17" s="1961"/>
      <c r="I17" s="2064"/>
      <c r="J17" s="2075"/>
      <c r="K17" s="2079"/>
      <c r="L17" s="2080" t="s">
        <v>1400</v>
      </c>
      <c r="M17" s="2081"/>
      <c r="N17" s="2081"/>
      <c r="O17" s="2082"/>
      <c r="P17" s="2090">
        <v>365</v>
      </c>
      <c r="Q17" s="2081"/>
      <c r="R17" s="2126">
        <f>ROUND(M17*N17*O17*P17/10000,0)</f>
        <v>0</v>
      </c>
      <c r="S17" s="2116"/>
      <c r="T17" s="2116"/>
      <c r="U17" s="2116"/>
      <c r="V17" s="2064"/>
      <c r="W17" s="1961"/>
    </row>
    <row r="18" s="1943" customFormat="1" customHeight="1" spans="1:23">
      <c r="A18" s="1976" t="s">
        <v>1401</v>
      </c>
      <c r="B18" s="1977"/>
      <c r="C18" s="1977"/>
      <c r="D18" s="2012">
        <f>ROUND(D6*E18,0)</f>
        <v>0</v>
      </c>
      <c r="E18" s="2013"/>
      <c r="F18" s="2014" t="s">
        <v>1402</v>
      </c>
      <c r="G18" s="2011">
        <v>0.05</v>
      </c>
      <c r="H18" s="1961"/>
      <c r="I18" s="2064"/>
      <c r="J18" s="2075"/>
      <c r="K18" s="2079"/>
      <c r="L18" s="2080" t="s">
        <v>1403</v>
      </c>
      <c r="M18" s="2081"/>
      <c r="N18" s="2081"/>
      <c r="O18" s="2082"/>
      <c r="P18" s="2090">
        <v>365</v>
      </c>
      <c r="Q18" s="2081"/>
      <c r="R18" s="2126">
        <f>ROUND(M18*N18*O18*P18/10000,0)</f>
        <v>0</v>
      </c>
      <c r="S18" s="2116"/>
      <c r="T18" s="2116"/>
      <c r="U18" s="2116"/>
      <c r="V18" s="2064"/>
      <c r="W18" s="1961"/>
    </row>
    <row r="19" s="1943" customFormat="1" customHeight="1" spans="1:23">
      <c r="A19" s="2015" t="s">
        <v>1404</v>
      </c>
      <c r="B19" s="1973"/>
      <c r="C19" s="1973"/>
      <c r="D19" s="1973"/>
      <c r="E19" s="1973"/>
      <c r="F19" s="1974"/>
      <c r="G19" s="1992"/>
      <c r="H19" s="1961"/>
      <c r="I19" s="2064"/>
      <c r="J19" s="2075"/>
      <c r="K19" s="2083"/>
      <c r="L19" s="2084" t="s">
        <v>1385</v>
      </c>
      <c r="M19" s="2085"/>
      <c r="N19" s="2085">
        <f>SUM(N16:N18)</f>
        <v>0</v>
      </c>
      <c r="O19" s="2086"/>
      <c r="P19" s="2091" t="s">
        <v>1405</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1406</v>
      </c>
      <c r="L20" s="2087" t="s">
        <v>1407</v>
      </c>
      <c r="M20" s="2088" t="s">
        <v>1408</v>
      </c>
      <c r="N20" s="2092" t="s">
        <v>1409</v>
      </c>
      <c r="O20" s="2089" t="s">
        <v>1410</v>
      </c>
      <c r="P20" s="2002" t="s">
        <v>1352</v>
      </c>
      <c r="Q20" s="1965" t="s">
        <v>121</v>
      </c>
      <c r="R20" s="2125" t="s">
        <v>1353</v>
      </c>
      <c r="S20" s="2113"/>
      <c r="T20" s="2113"/>
      <c r="U20" s="2113"/>
      <c r="V20" s="2064"/>
      <c r="W20" s="1961"/>
    </row>
    <row r="21" s="1943" customFormat="1" customHeight="1" spans="1:23">
      <c r="A21" s="1976"/>
      <c r="B21" s="1977"/>
      <c r="C21" s="1984" t="s">
        <v>1411</v>
      </c>
      <c r="D21" s="2017" t="s">
        <v>1412</v>
      </c>
      <c r="E21" s="1985" t="s">
        <v>1413</v>
      </c>
      <c r="F21" s="2016"/>
      <c r="G21" s="1992"/>
      <c r="H21" s="1961"/>
      <c r="I21" s="2064"/>
      <c r="J21" s="2075"/>
      <c r="K21" s="2079"/>
      <c r="L21" s="2087" t="s">
        <v>1414</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1415</v>
      </c>
      <c r="D22" s="2019" t="s">
        <v>1416</v>
      </c>
      <c r="E22" s="2020" t="s">
        <v>1417</v>
      </c>
      <c r="F22" s="2016"/>
      <c r="G22" s="2021"/>
      <c r="H22" s="1961"/>
      <c r="I22" s="2064"/>
      <c r="J22" s="2075"/>
      <c r="K22" s="2079"/>
      <c r="L22" s="2087" t="s">
        <v>1418</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1419</v>
      </c>
      <c r="C23" s="2024">
        <f>D6</f>
        <v>0</v>
      </c>
      <c r="D23" s="2025">
        <f>C23*(1+D24)</f>
        <v>0</v>
      </c>
      <c r="E23" s="2026">
        <f>D23*(1+E24)</f>
        <v>0</v>
      </c>
      <c r="F23" s="2027"/>
      <c r="G23" s="2028"/>
      <c r="H23" s="1961"/>
      <c r="I23" s="2064"/>
      <c r="J23" s="2075"/>
      <c r="K23" s="2079"/>
      <c r="L23" s="2087" t="s">
        <v>1420</v>
      </c>
      <c r="M23" s="2088"/>
      <c r="N23" s="2088"/>
      <c r="O23" s="2089"/>
      <c r="P23" s="2002">
        <v>365</v>
      </c>
      <c r="Q23" s="1965"/>
      <c r="R23" s="2128">
        <f>ROUND(M23*N23*O23*P23/10000,0)</f>
        <v>0</v>
      </c>
      <c r="S23" s="2116"/>
      <c r="T23" s="2116"/>
      <c r="U23" s="2116"/>
      <c r="V23" s="2064"/>
      <c r="W23" s="1961"/>
    </row>
    <row r="24" s="1943" customFormat="1" customHeight="1" spans="1:23">
      <c r="A24" s="2029"/>
      <c r="B24" s="2030" t="s">
        <v>1421</v>
      </c>
      <c r="C24" s="2031"/>
      <c r="D24" s="2032"/>
      <c r="E24" s="2033"/>
      <c r="F24" s="2034"/>
      <c r="G24" s="2028"/>
      <c r="H24" s="1961"/>
      <c r="I24" s="2064"/>
      <c r="J24" s="2075"/>
      <c r="K24" s="2083"/>
      <c r="L24" s="2084" t="s">
        <v>1385</v>
      </c>
      <c r="M24" s="2085">
        <f>SUM(M21:M23)</f>
        <v>0</v>
      </c>
      <c r="N24" s="2085"/>
      <c r="O24" s="2086"/>
      <c r="P24" s="2091" t="s">
        <v>1405</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1422</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1423</v>
      </c>
      <c r="C26" s="2024">
        <f>D7</f>
        <v>0</v>
      </c>
      <c r="D26" s="2025">
        <f>D23*D27</f>
        <v>0</v>
      </c>
      <c r="E26" s="2026">
        <f>E23*E27</f>
        <v>0</v>
      </c>
      <c r="F26" s="2027"/>
      <c r="G26" s="2028"/>
      <c r="H26" s="1961"/>
      <c r="I26" s="2064"/>
      <c r="J26" s="2096">
        <v>5</v>
      </c>
      <c r="K26" s="2097" t="s">
        <v>1424</v>
      </c>
      <c r="L26" s="2098"/>
      <c r="M26" s="2099"/>
      <c r="N26" s="2100" t="s">
        <v>359</v>
      </c>
      <c r="O26" s="2100" t="s">
        <v>1425</v>
      </c>
      <c r="P26" s="2101" t="s">
        <v>1426</v>
      </c>
      <c r="Q26" s="2101" t="s">
        <v>1427</v>
      </c>
      <c r="R26" s="2120" t="s">
        <v>1353</v>
      </c>
      <c r="S26" s="2130"/>
      <c r="T26" s="2130"/>
      <c r="U26" s="2130"/>
      <c r="V26" s="2102"/>
      <c r="W26" s="2036"/>
    </row>
    <row r="27" s="1943" customFormat="1" customHeight="1" spans="1:23">
      <c r="A27" s="2029"/>
      <c r="B27" s="2030" t="s">
        <v>1428</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1225</v>
      </c>
      <c r="F28" s="2034"/>
      <c r="G28" s="2021"/>
      <c r="H28" s="2036"/>
      <c r="I28" s="2102"/>
      <c r="J28" s="2108">
        <v>6</v>
      </c>
      <c r="K28" s="2109" t="s">
        <v>1429</v>
      </c>
      <c r="L28" s="2110" t="s">
        <v>1430</v>
      </c>
      <c r="M28" s="2111"/>
      <c r="N28" s="2110" t="s">
        <v>1431</v>
      </c>
      <c r="O28" s="2112"/>
      <c r="P28" s="2110" t="s">
        <v>1432</v>
      </c>
      <c r="Q28" s="2132">
        <v>0.015</v>
      </c>
      <c r="R28" s="2133"/>
      <c r="S28" s="2113"/>
      <c r="T28" s="2113"/>
      <c r="U28" s="2113"/>
      <c r="V28" s="2102"/>
      <c r="W28" s="2036"/>
    </row>
    <row r="29" s="1944" customFormat="1" customHeight="1" spans="1:23">
      <c r="A29" s="2022">
        <v>3</v>
      </c>
      <c r="B29" s="2023" t="s">
        <v>1433</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1428</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1434</v>
      </c>
      <c r="K31" s="2063"/>
      <c r="L31" s="2063"/>
      <c r="M31" s="2063"/>
      <c r="N31" s="2063"/>
      <c r="O31" s="2063"/>
      <c r="P31" s="2063"/>
      <c r="Q31" s="2063"/>
      <c r="R31" s="2115"/>
      <c r="S31" s="2113"/>
      <c r="T31" s="2116"/>
      <c r="U31" s="2116"/>
      <c r="V31" s="2102"/>
      <c r="W31" s="2036"/>
    </row>
    <row r="32" s="1944" customFormat="1" customHeight="1" spans="1:23">
      <c r="A32" s="2022">
        <v>4</v>
      </c>
      <c r="B32" s="2023" t="s">
        <v>1435</v>
      </c>
      <c r="C32" s="2024">
        <f>C23-C26-C29</f>
        <v>0</v>
      </c>
      <c r="D32" s="2025">
        <f>D23-D26-D29</f>
        <v>0</v>
      </c>
      <c r="E32" s="2026">
        <f>E23-E26-E29</f>
        <v>0</v>
      </c>
      <c r="F32" s="2027"/>
      <c r="G32" s="2021"/>
      <c r="H32" s="1961"/>
      <c r="I32" s="2064"/>
      <c r="J32" s="2065" t="s">
        <v>1330</v>
      </c>
      <c r="K32" s="2066"/>
      <c r="L32" s="2067" t="s">
        <v>1331</v>
      </c>
      <c r="M32" s="2067" t="s">
        <v>1332</v>
      </c>
      <c r="N32" s="2067" t="s">
        <v>1333</v>
      </c>
      <c r="O32" s="2067" t="s">
        <v>1334</v>
      </c>
      <c r="P32" s="2067" t="s">
        <v>1335</v>
      </c>
      <c r="Q32" s="2117" t="s">
        <v>1336</v>
      </c>
      <c r="R32" s="2134" t="s">
        <v>1337</v>
      </c>
      <c r="S32" s="2113"/>
      <c r="T32" s="2116"/>
      <c r="U32" s="2116"/>
      <c r="V32" s="2102"/>
      <c r="W32" s="2036"/>
    </row>
    <row r="33" s="1943" customFormat="1" customHeight="1" spans="1:23">
      <c r="A33" s="2022"/>
      <c r="B33" s="2023"/>
      <c r="C33" s="2024"/>
      <c r="D33" s="2039"/>
      <c r="E33" s="1996"/>
      <c r="F33" s="2027"/>
      <c r="G33" s="2021"/>
      <c r="H33" s="2036"/>
      <c r="I33" s="2102"/>
      <c r="J33" s="2068" t="s">
        <v>1340</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1436</v>
      </c>
      <c r="C34" s="2040"/>
      <c r="D34" s="2041"/>
      <c r="E34" s="2042"/>
      <c r="F34" s="2027"/>
      <c r="G34" s="2021"/>
      <c r="H34" s="2036"/>
      <c r="I34" s="2102"/>
      <c r="J34" s="2068" t="s">
        <v>1341</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1437</v>
      </c>
      <c r="C35" s="2043"/>
      <c r="D35" s="2044"/>
      <c r="E35" s="2045"/>
      <c r="F35" s="2027"/>
      <c r="G35" s="2046"/>
      <c r="H35" s="1961"/>
      <c r="I35" s="2102"/>
      <c r="J35" s="2072" t="s">
        <v>1343</v>
      </c>
      <c r="K35" s="2073"/>
      <c r="L35" s="2073"/>
      <c r="M35" s="2074"/>
      <c r="N35" s="2074"/>
      <c r="O35" s="2074"/>
      <c r="P35" s="2074"/>
      <c r="Q35" s="2074"/>
      <c r="R35" s="2137">
        <f>R40+R41+R43</f>
        <v>0</v>
      </c>
      <c r="S35" s="2113"/>
      <c r="T35" s="2116" t="s">
        <v>1344</v>
      </c>
      <c r="U35" s="2116"/>
      <c r="V35" s="2064"/>
      <c r="W35" s="1961"/>
    </row>
    <row r="36" s="1943" customFormat="1" customHeight="1" spans="1:23">
      <c r="A36" s="2022">
        <v>7</v>
      </c>
      <c r="B36" s="2047" t="s">
        <v>1438</v>
      </c>
      <c r="C36" s="2048"/>
      <c r="D36" s="2049"/>
      <c r="E36" s="2050"/>
      <c r="F36" s="2051">
        <f>C36+D36+E36</f>
        <v>0</v>
      </c>
      <c r="G36" s="2021"/>
      <c r="H36" s="1961"/>
      <c r="I36" s="2064"/>
      <c r="J36" s="2075">
        <v>1</v>
      </c>
      <c r="K36" s="2076" t="s">
        <v>1439</v>
      </c>
      <c r="L36" s="2077"/>
      <c r="M36" s="2078"/>
      <c r="N36" s="2078"/>
      <c r="O36" s="2078"/>
      <c r="P36" s="2078"/>
      <c r="Q36" s="2078"/>
      <c r="R36" s="2120" t="s">
        <v>1353</v>
      </c>
      <c r="S36" s="2113"/>
      <c r="T36" s="2116" t="s">
        <v>1354</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1357</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1365</v>
      </c>
      <c r="U38" s="2116"/>
      <c r="V38" s="2064"/>
      <c r="W38" s="1961"/>
    </row>
    <row r="39" s="1943" customFormat="1" customHeight="1" spans="1:23">
      <c r="A39" s="2022">
        <v>9</v>
      </c>
      <c r="B39" s="2023" t="s">
        <v>1440</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1441</v>
      </c>
      <c r="C40" s="2054" t="e">
        <f>C39+D39+E39</f>
        <v>#DIV/0!</v>
      </c>
      <c r="D40" s="2055"/>
      <c r="E40" s="2055"/>
      <c r="F40" s="2056"/>
      <c r="G40" s="2021"/>
      <c r="H40" s="1961"/>
      <c r="I40" s="2064"/>
      <c r="J40" s="2075"/>
      <c r="K40" s="2083"/>
      <c r="L40" s="2084" t="s">
        <v>1385</v>
      </c>
      <c r="M40" s="2085"/>
      <c r="N40" s="2085"/>
      <c r="O40" s="2086"/>
      <c r="P40" s="2086"/>
      <c r="Q40" s="2124"/>
      <c r="R40" s="2118">
        <f>SUM(R37:R39)</f>
        <v>0</v>
      </c>
      <c r="S40" s="2113"/>
      <c r="T40" s="2116"/>
      <c r="U40" s="2116"/>
      <c r="V40" s="2064"/>
      <c r="W40" s="1961"/>
    </row>
    <row r="41" s="1943" customFormat="1" customHeight="1" spans="1:23">
      <c r="A41" s="2057">
        <v>11</v>
      </c>
      <c r="B41" s="2058" t="s">
        <v>1442</v>
      </c>
      <c r="C41" s="2058" t="e">
        <f>ROUND(C40*10000/B4,0)</f>
        <v>#DIV/0!</v>
      </c>
      <c r="D41" s="2059"/>
      <c r="E41" s="2059"/>
      <c r="F41" s="2060"/>
      <c r="G41" s="2061"/>
      <c r="H41" s="1961"/>
      <c r="I41" s="2064"/>
      <c r="J41" s="2075">
        <v>2</v>
      </c>
      <c r="K41" s="2093" t="s">
        <v>1422</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1424</v>
      </c>
      <c r="L42" s="2098"/>
      <c r="M42" s="2099"/>
      <c r="N42" s="2100" t="s">
        <v>359</v>
      </c>
      <c r="O42" s="2100" t="s">
        <v>1425</v>
      </c>
      <c r="P42" s="2101" t="s">
        <v>1426</v>
      </c>
      <c r="Q42" s="2101" t="s">
        <v>1427</v>
      </c>
      <c r="R42" s="2120" t="s">
        <v>1353</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1429</v>
      </c>
      <c r="L44" s="2114" t="s">
        <v>1430</v>
      </c>
      <c r="M44" s="2111"/>
      <c r="N44" s="2114" t="s">
        <v>1431</v>
      </c>
      <c r="O44" s="2111"/>
      <c r="P44" s="2114" t="s">
        <v>1432</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06" customWidth="1"/>
    <col min="2" max="2" width="9.25"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1443</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1444</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1445</v>
      </c>
      <c r="C4" s="1817" t="s">
        <v>1446</v>
      </c>
      <c r="D4" s="1818"/>
      <c r="E4" s="1818"/>
      <c r="F4" s="1818"/>
      <c r="G4" s="1818"/>
      <c r="H4" s="1818"/>
      <c r="I4" s="1818"/>
      <c r="J4" s="1818"/>
      <c r="K4" s="1818"/>
      <c r="L4" s="1818"/>
      <c r="M4" s="1818"/>
      <c r="N4" s="1818"/>
      <c r="O4" s="1818"/>
      <c r="P4" s="1818"/>
      <c r="Q4" s="1818"/>
      <c r="R4" s="1818"/>
      <c r="S4" s="1899"/>
      <c r="T4" s="1816" t="s">
        <v>1447</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1448</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1449</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1450</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1451</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1452</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1453</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1454</v>
      </c>
      <c r="B20" s="1846" t="s">
        <v>1455</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1456</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1457</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1458</v>
      </c>
      <c r="B24" s="1856">
        <f ca="1">ROUND(B23*10000/B25,0)</f>
        <v>0</v>
      </c>
      <c r="C24" s="1811"/>
      <c r="D24" s="1812"/>
      <c r="E24" s="1812"/>
      <c r="F24" s="1812"/>
      <c r="G24" s="1812"/>
      <c r="H24" s="1812"/>
      <c r="I24" s="1812"/>
      <c r="J24" s="1812"/>
      <c r="K24" s="1812"/>
      <c r="L24" s="1812"/>
      <c r="M24" s="1812"/>
      <c r="N24" s="1812"/>
      <c r="O24" s="1812"/>
      <c r="P24" s="1812"/>
      <c r="Q24" s="1812"/>
      <c r="R24" s="1897"/>
      <c r="S24" s="1860" t="s">
        <v>1459</v>
      </c>
      <c r="T24" s="1861" t="s">
        <v>1460</v>
      </c>
      <c r="U24" s="539" t="s">
        <v>1461</v>
      </c>
      <c r="V24" s="1928"/>
      <c r="W24" s="1929" t="s">
        <v>1462</v>
      </c>
      <c r="X24" s="539" t="s">
        <v>1463</v>
      </c>
      <c r="Y24" s="1928"/>
      <c r="Z24" s="1939" t="s">
        <v>1462</v>
      </c>
    </row>
    <row r="25" spans="1:26">
      <c r="A25" s="1813" t="s">
        <v>1464</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1465</v>
      </c>
      <c r="B26" s="1863" t="s">
        <v>359</v>
      </c>
      <c r="C26" s="1863" t="s">
        <v>1447</v>
      </c>
      <c r="D26" s="1863" t="str">
        <f>B8</f>
        <v>修正项2</v>
      </c>
      <c r="E26" s="1863" t="s">
        <v>1447</v>
      </c>
      <c r="F26" s="1863" t="str">
        <f>B10</f>
        <v>修正项3</v>
      </c>
      <c r="G26" s="1863" t="s">
        <v>1447</v>
      </c>
      <c r="H26" s="1863" t="str">
        <f>B12</f>
        <v>修正项4</v>
      </c>
      <c r="I26" s="1863" t="s">
        <v>1447</v>
      </c>
      <c r="J26" s="1863" t="str">
        <f>B14</f>
        <v>修正项5</v>
      </c>
      <c r="K26" s="1863" t="s">
        <v>1447</v>
      </c>
      <c r="L26" s="1863" t="str">
        <f>B16</f>
        <v>修正项6</v>
      </c>
      <c r="M26" s="1863" t="s">
        <v>1447</v>
      </c>
      <c r="N26" s="1863" t="str">
        <f>B18</f>
        <v>修正项7</v>
      </c>
      <c r="O26" s="1863" t="s">
        <v>1447</v>
      </c>
      <c r="P26" s="1863" t="str">
        <f>B20</f>
        <v>楼层</v>
      </c>
      <c r="Q26" s="1863" t="s">
        <v>1447</v>
      </c>
      <c r="R26" s="1934" t="s">
        <v>1466</v>
      </c>
      <c r="S26" s="1863" t="s">
        <v>1467</v>
      </c>
      <c r="T26" s="1863" t="s">
        <v>1467</v>
      </c>
      <c r="U26" s="356" t="s">
        <v>1468</v>
      </c>
      <c r="V26" s="356" t="s">
        <v>1469</v>
      </c>
      <c r="W26" s="1863" t="s">
        <v>1470</v>
      </c>
      <c r="X26" s="356" t="s">
        <v>1468</v>
      </c>
      <c r="Y26" s="356" t="s">
        <v>1469</v>
      </c>
      <c r="Z26" s="1863" t="s">
        <v>1470</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1471</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1472</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1476</v>
      </c>
      <c r="D9" s="1145">
        <v>100</v>
      </c>
      <c r="E9" s="1611" t="s">
        <v>1476</v>
      </c>
      <c r="F9" s="1690">
        <f>SUMIF(63:63,E9,64:64)-SUMIF(63:63,C9,64:64)+100</f>
        <v>100</v>
      </c>
      <c r="G9" s="1610" t="s">
        <v>1476</v>
      </c>
      <c r="H9" s="1145">
        <f>SUMIF(63:63,G9,64:64)-SUMIF(63:63,C9,64:64)+100</f>
        <v>100</v>
      </c>
      <c r="I9" s="1610" t="s">
        <v>1476</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1477</v>
      </c>
      <c r="D10" s="1149">
        <v>100</v>
      </c>
      <c r="E10" s="1612" t="s">
        <v>1477</v>
      </c>
      <c r="F10" s="1631">
        <f>SUMIF(65:65,E10,66:66)-SUMIF(65:65,C10,66:66)+100</f>
        <v>100</v>
      </c>
      <c r="G10" s="1612" t="s">
        <v>1477</v>
      </c>
      <c r="H10" s="1149">
        <f>SUMIF(65:65,G10,66:66)-SUMIF(65:65,C10,66:66)+100</f>
        <v>100</v>
      </c>
      <c r="I10" s="1612" t="s">
        <v>1477</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1478</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1479</v>
      </c>
      <c r="C26" s="1703" t="s">
        <v>1480</v>
      </c>
      <c r="D26" s="1158">
        <v>100</v>
      </c>
      <c r="E26" s="1704" t="s">
        <v>1481</v>
      </c>
      <c r="F26" s="1629">
        <f>SUMIF(88:88,E26,89:89)-SUMIF(88:88,C26,89:89)+100</f>
        <v>101</v>
      </c>
      <c r="G26" s="1705" t="s">
        <v>1482</v>
      </c>
      <c r="H26" s="1158">
        <f>SUMIF(88:88,G26,89:89)-SUMIF(88:88,C26,89:89)+100</f>
        <v>94</v>
      </c>
      <c r="I26" s="1704" t="s">
        <v>1483</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1484</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1485</v>
      </c>
      <c r="C28" s="1708" t="s">
        <v>1486</v>
      </c>
      <c r="D28" s="1158">
        <v>100</v>
      </c>
      <c r="E28" s="1708" t="s">
        <v>1486</v>
      </c>
      <c r="F28" s="1629">
        <f>SUMIF(92:92,E28,93:93)-SUMIF(92:92,C28,93:93)+100</f>
        <v>100</v>
      </c>
      <c r="G28" s="1708" t="s">
        <v>1487</v>
      </c>
      <c r="H28" s="1158">
        <f>SUMIF(92:92,G28,93:93)-SUMIF(92:92,C28,93:93)+100</f>
        <v>98</v>
      </c>
      <c r="I28" s="1708" t="s">
        <v>1488</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1489</v>
      </c>
      <c r="C32" s="1709" t="s">
        <v>1490</v>
      </c>
      <c r="D32" s="1204">
        <v>100</v>
      </c>
      <c r="E32" s="1710" t="s">
        <v>1490</v>
      </c>
      <c r="F32" s="1629">
        <f>SUMIF(100:100,E32,101:101)-SUMIF(100:100,C32,101:101)+100</f>
        <v>100</v>
      </c>
      <c r="G32" s="1709" t="s">
        <v>1490</v>
      </c>
      <c r="H32" s="1204">
        <f>SUMIF(100:100,G32,101:101)-SUMIF(100:100,C32,101:101)+100</f>
        <v>100</v>
      </c>
      <c r="I32" s="1710" t="s">
        <v>1491</v>
      </c>
      <c r="J32" s="1158">
        <f>SUMIF(100:100,I32,101:101)-SUMIF(100:100,C32,101:101)+100</f>
        <v>105</v>
      </c>
      <c r="K32" s="1725">
        <v>5</v>
      </c>
      <c r="L32" s="1271"/>
      <c r="M32" s="1256"/>
      <c r="N32" s="1256"/>
      <c r="O32" s="1256"/>
      <c r="P32" s="1731" t="s">
        <v>1075</v>
      </c>
      <c r="Q32" s="511" t="str">
        <f t="shared" si="11"/>
        <v>建筑类型</v>
      </c>
      <c r="R32" s="1315" t="s">
        <v>1052</v>
      </c>
      <c r="S32" s="1316">
        <f t="shared" si="12"/>
        <v>100</v>
      </c>
      <c r="T32" s="1315" t="s">
        <v>1052</v>
      </c>
      <c r="U32" s="1316">
        <f t="shared" si="13"/>
        <v>100</v>
      </c>
      <c r="V32" s="1315" t="s">
        <v>1052</v>
      </c>
      <c r="W32" s="1316">
        <f t="shared" si="14"/>
        <v>105</v>
      </c>
      <c r="X32" s="1302"/>
      <c r="Y32" s="1287" t="s">
        <v>1075</v>
      </c>
      <c r="Z32" s="1301" t="str">
        <f t="shared" si="15"/>
        <v>建筑类型</v>
      </c>
      <c r="AA32" s="1332">
        <f t="shared" si="3"/>
        <v>1</v>
      </c>
      <c r="AB32" s="1332">
        <f t="shared" si="4"/>
        <v>1</v>
      </c>
      <c r="AC32" s="1332">
        <f t="shared" si="5"/>
        <v>0.952380952380952</v>
      </c>
    </row>
    <row r="33" s="1102" customFormat="1" ht="15" spans="1:29">
      <c r="A33" s="1210"/>
      <c r="B33" s="1147" t="s">
        <v>1076</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1077</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1492</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1078</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1079</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1493</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1075</v>
      </c>
      <c r="Q38" s="511" t="str">
        <f t="shared" si="11"/>
        <v>物业管理</v>
      </c>
      <c r="R38" s="1315" t="s">
        <v>1052</v>
      </c>
      <c r="S38" s="1316">
        <f t="shared" si="12"/>
        <v>100</v>
      </c>
      <c r="T38" s="1315" t="s">
        <v>1052</v>
      </c>
      <c r="U38" s="1316">
        <f t="shared" si="13"/>
        <v>100</v>
      </c>
      <c r="V38" s="1315" t="s">
        <v>1052</v>
      </c>
      <c r="W38" s="1316">
        <f t="shared" si="14"/>
        <v>100</v>
      </c>
      <c r="X38" s="1302"/>
      <c r="Y38" s="1287" t="s">
        <v>1075</v>
      </c>
      <c r="Z38" s="1301" t="str">
        <f t="shared" si="15"/>
        <v>物业管理</v>
      </c>
      <c r="AA38" s="1332">
        <f t="shared" si="3"/>
        <v>1</v>
      </c>
      <c r="AB38" s="1332">
        <f t="shared" si="4"/>
        <v>1</v>
      </c>
      <c r="AC38" s="1332">
        <f t="shared" si="5"/>
        <v>1</v>
      </c>
    </row>
    <row r="39" ht="15" spans="1:29">
      <c r="A39" s="1205"/>
      <c r="B39" s="1147" t="s">
        <v>1080</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1494</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1088</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1089</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1090</v>
      </c>
      <c r="B48" s="1644"/>
      <c r="C48" s="1645">
        <f>R49</f>
        <v>36015</v>
      </c>
      <c r="D48" s="851" t="s">
        <v>1091</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1496</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1093</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1094</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1095</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1096</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1097</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1098</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1099</v>
      </c>
      <c r="D65" s="1366" t="s">
        <v>1100</v>
      </c>
      <c r="E65" s="1366" t="s">
        <v>1101</v>
      </c>
      <c r="F65" s="1366" t="s">
        <v>1102</v>
      </c>
      <c r="G65" s="1366" t="s">
        <v>1103</v>
      </c>
      <c r="H65" s="1366" t="s">
        <v>1104</v>
      </c>
      <c r="I65" s="1366" t="s">
        <v>1105</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1107</v>
      </c>
      <c r="D82" s="1366" t="s">
        <v>1108</v>
      </c>
      <c r="E82" s="1366" t="s">
        <v>1109</v>
      </c>
      <c r="F82" s="1366" t="s">
        <v>1110</v>
      </c>
      <c r="G82" s="1366" t="s">
        <v>1111</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1478</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1479</v>
      </c>
      <c r="C88" s="1752" t="s">
        <v>1483</v>
      </c>
      <c r="D88" s="1752" t="s">
        <v>1497</v>
      </c>
      <c r="E88" s="1752" t="s">
        <v>1481</v>
      </c>
      <c r="F88" s="1752" t="s">
        <v>1480</v>
      </c>
      <c r="G88" s="1752" t="s">
        <v>1498</v>
      </c>
      <c r="H88" s="1752" t="s">
        <v>1499</v>
      </c>
      <c r="I88" s="1752" t="s">
        <v>1500</v>
      </c>
      <c r="J88" s="1752" t="s">
        <v>1501</v>
      </c>
      <c r="K88" s="1752" t="s">
        <v>1502</v>
      </c>
      <c r="L88" s="1757" t="s">
        <v>1482</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1486</v>
      </c>
      <c r="D92" s="1752" t="s">
        <v>1487</v>
      </c>
      <c r="E92" s="1752" t="s">
        <v>1488</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1072</v>
      </c>
      <c r="B100" s="1361" t="s">
        <v>1489</v>
      </c>
      <c r="C100" s="1753" t="s">
        <v>1491</v>
      </c>
      <c r="D100" s="1753" t="s">
        <v>1490</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1076</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1077</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1492</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1078</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1079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1493</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1080</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1494</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1495</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1088</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1503</v>
      </c>
    </row>
    <row r="137" ht="15" spans="2:11">
      <c r="B137" s="1761" t="s">
        <v>1504</v>
      </c>
      <c r="C137" s="1762"/>
      <c r="D137" s="1762"/>
      <c r="E137" s="1762"/>
      <c r="F137" s="1762"/>
      <c r="G137" s="1763"/>
      <c r="H137" s="1764"/>
      <c r="I137" s="1788" t="s">
        <v>1505</v>
      </c>
      <c r="J137" s="1762"/>
      <c r="K137" s="1789"/>
    </row>
    <row r="138" ht="15" spans="2:11">
      <c r="B138" s="1765"/>
      <c r="C138" s="1238" t="s">
        <v>1506</v>
      </c>
      <c r="D138" s="1238" t="s">
        <v>1507</v>
      </c>
      <c r="E138" s="1766" t="s">
        <v>1508</v>
      </c>
      <c r="F138" s="1767" t="s">
        <v>1509</v>
      </c>
      <c r="G138" s="1238" t="s">
        <v>1507</v>
      </c>
      <c r="H138" s="1768" t="s">
        <v>1508</v>
      </c>
      <c r="I138" s="1790"/>
      <c r="J138" s="1238" t="s">
        <v>1510</v>
      </c>
      <c r="K138" s="1768" t="s">
        <v>1511</v>
      </c>
    </row>
    <row r="139" ht="15" spans="2:11">
      <c r="B139" s="1769">
        <v>6</v>
      </c>
      <c r="C139" s="1770">
        <v>96</v>
      </c>
      <c r="D139" s="1771" t="s">
        <v>1512</v>
      </c>
      <c r="E139" s="1772">
        <v>100</v>
      </c>
      <c r="F139" s="1773">
        <v>102.5</v>
      </c>
      <c r="G139" s="1771" t="s">
        <v>1512</v>
      </c>
      <c r="H139" s="1774">
        <v>105</v>
      </c>
      <c r="I139" s="1791" t="s">
        <v>1513</v>
      </c>
      <c r="J139" s="1770">
        <v>20</v>
      </c>
      <c r="K139" s="1792">
        <f>C145/(J139-2)</f>
        <v>0.00405555555555556</v>
      </c>
    </row>
    <row r="140" ht="15" spans="2:11">
      <c r="B140" s="1775">
        <v>5</v>
      </c>
      <c r="C140" s="1776">
        <v>100</v>
      </c>
      <c r="D140" s="1776"/>
      <c r="E140" s="1777"/>
      <c r="F140" s="1778">
        <v>102</v>
      </c>
      <c r="G140" s="1776"/>
      <c r="H140" s="1779"/>
      <c r="I140" s="1793" t="s">
        <v>1514</v>
      </c>
      <c r="J140" s="1794">
        <f>ROUNDUP((J139-1)/2,0)</f>
        <v>10</v>
      </c>
      <c r="K140" s="1795">
        <v>100</v>
      </c>
    </row>
    <row r="141" ht="15" spans="2:11">
      <c r="B141" s="1775">
        <v>4</v>
      </c>
      <c r="C141" s="1776">
        <v>102</v>
      </c>
      <c r="D141" s="1776"/>
      <c r="E141" s="1777"/>
      <c r="F141" s="1778">
        <v>101.5</v>
      </c>
      <c r="G141" s="1776"/>
      <c r="H141" s="1779"/>
      <c r="I141" s="1793" t="s">
        <v>1515</v>
      </c>
      <c r="J141" s="1794">
        <v>1</v>
      </c>
      <c r="K141" s="1796">
        <f>ROUND(100+(J141-J140)*K139*100,1)</f>
        <v>96.4</v>
      </c>
    </row>
    <row r="142" ht="15" spans="2:11">
      <c r="B142" s="1775">
        <v>3</v>
      </c>
      <c r="C142" s="1776">
        <v>103</v>
      </c>
      <c r="D142" s="1776"/>
      <c r="E142" s="1777"/>
      <c r="F142" s="1778">
        <v>101</v>
      </c>
      <c r="G142" s="1776"/>
      <c r="H142" s="1779"/>
      <c r="I142" s="1793" t="s">
        <v>1516</v>
      </c>
      <c r="J142" s="1794">
        <f>J139</f>
        <v>20</v>
      </c>
      <c r="K142" s="1797">
        <v>95</v>
      </c>
    </row>
    <row r="143" ht="15" spans="2:11">
      <c r="B143" s="1775">
        <v>2</v>
      </c>
      <c r="C143" s="1776">
        <v>100</v>
      </c>
      <c r="D143" s="1776"/>
      <c r="E143" s="1777"/>
      <c r="F143" s="1778">
        <v>100.5</v>
      </c>
      <c r="G143" s="1776"/>
      <c r="H143" s="1779"/>
      <c r="I143" s="1793" t="s">
        <v>1517</v>
      </c>
      <c r="J143" s="1776">
        <v>15</v>
      </c>
      <c r="K143" s="1796">
        <f>ROUND(100+(J143-J140)*K139*100,1)</f>
        <v>102</v>
      </c>
    </row>
    <row r="144" ht="15" spans="2:11">
      <c r="B144" s="1775">
        <v>1</v>
      </c>
      <c r="C144" s="1776">
        <v>98</v>
      </c>
      <c r="D144" s="1780" t="s">
        <v>1518</v>
      </c>
      <c r="E144" s="1777">
        <v>102</v>
      </c>
      <c r="F144" s="1781">
        <v>100</v>
      </c>
      <c r="G144" s="1780" t="s">
        <v>1518</v>
      </c>
      <c r="H144" s="1779">
        <v>105</v>
      </c>
      <c r="I144" s="1793" t="s">
        <v>1517</v>
      </c>
      <c r="J144" s="1776">
        <v>18</v>
      </c>
      <c r="K144" s="1796">
        <f>ROUND(100+(J144-J140)*K139*100,1)</f>
        <v>103.2</v>
      </c>
    </row>
    <row r="145" ht="16.35" spans="2:11">
      <c r="B145" s="1782" t="s">
        <v>1519</v>
      </c>
      <c r="C145" s="1783">
        <f>ROUND(MAX(C139:C144)/MIN(C139:C144)-1,3)</f>
        <v>0.073</v>
      </c>
      <c r="D145" s="1784"/>
      <c r="E145" s="1784"/>
      <c r="F145" s="1785" t="s">
        <v>1520</v>
      </c>
      <c r="G145" s="1786"/>
      <c r="H145" s="1787"/>
      <c r="I145" s="1798" t="s">
        <v>1517</v>
      </c>
      <c r="J145" s="1799">
        <v>8</v>
      </c>
      <c r="K145" s="1800">
        <f>ROUND(100+(J145-J140)*K139*100,1)</f>
        <v>99.2</v>
      </c>
    </row>
    <row r="147" ht="14.4" spans="2:2">
      <c r="B147" s="1760" t="s">
        <v>1521</v>
      </c>
    </row>
    <row r="148" ht="14.4" spans="2:2">
      <c r="B148" s="1760" t="s">
        <v>1522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1523</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1479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1072</v>
      </c>
      <c r="B33" s="1143" t="s">
        <v>1489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1075</v>
      </c>
      <c r="Q33" s="511" t="str">
        <f t="shared" si="11"/>
        <v>建筑类型</v>
      </c>
      <c r="R33" s="1315" t="s">
        <v>1052</v>
      </c>
      <c r="S33" s="1316">
        <f t="shared" si="12"/>
        <v>100</v>
      </c>
      <c r="T33" s="1315" t="s">
        <v>1052</v>
      </c>
      <c r="U33" s="1316">
        <f t="shared" si="13"/>
        <v>100</v>
      </c>
      <c r="V33" s="1315" t="s">
        <v>1052</v>
      </c>
      <c r="W33" s="1316">
        <f t="shared" si="14"/>
        <v>100</v>
      </c>
      <c r="X33" s="1302"/>
      <c r="Y33" s="1287" t="s">
        <v>1075</v>
      </c>
      <c r="Z33" s="1301" t="str">
        <f t="shared" si="15"/>
        <v>建筑类型</v>
      </c>
      <c r="AA33" s="1332">
        <f t="shared" si="3"/>
        <v>1</v>
      </c>
      <c r="AB33" s="1332">
        <f t="shared" si="4"/>
        <v>1</v>
      </c>
      <c r="AC33" s="1332">
        <f t="shared" si="5"/>
        <v>1</v>
      </c>
    </row>
    <row r="34" s="1102" customFormat="1" ht="15" spans="1:29">
      <c r="A34" s="1210"/>
      <c r="B34" s="1147" t="s">
        <v>1076</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1077</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1078</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1079</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1493</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1075</v>
      </c>
      <c r="Q39" s="511" t="str">
        <f t="shared" si="11"/>
        <v>物业管理</v>
      </c>
      <c r="R39" s="1315" t="s">
        <v>1052</v>
      </c>
      <c r="S39" s="1316">
        <f t="shared" si="12"/>
        <v>100</v>
      </c>
      <c r="T39" s="1315" t="s">
        <v>1052</v>
      </c>
      <c r="U39" s="1316">
        <f t="shared" si="13"/>
        <v>100</v>
      </c>
      <c r="V39" s="1315" t="s">
        <v>1052</v>
      </c>
      <c r="W39" s="1316">
        <f t="shared" si="14"/>
        <v>100</v>
      </c>
      <c r="X39" s="1302"/>
      <c r="Y39" s="1287" t="s">
        <v>1075</v>
      </c>
      <c r="Z39" s="1301" t="str">
        <f t="shared" si="15"/>
        <v>物业管理</v>
      </c>
      <c r="AA39" s="1332">
        <f t="shared" si="3"/>
        <v>1</v>
      </c>
      <c r="AB39" s="1332">
        <f t="shared" si="4"/>
        <v>1</v>
      </c>
      <c r="AC39" s="1332">
        <f t="shared" si="5"/>
        <v>1</v>
      </c>
    </row>
    <row r="40" ht="15" spans="1:29">
      <c r="A40" s="1205"/>
      <c r="B40" s="1147" t="s">
        <v>1080</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1084</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1088</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1089</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1090</v>
      </c>
      <c r="B49" s="1644"/>
      <c r="C49" s="1645" t="e">
        <f>R50</f>
        <v>#DIV/0!</v>
      </c>
      <c r="D49" s="851" t="s">
        <v>1091</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1093</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1094</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1095</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1096</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1097</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1098</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1099</v>
      </c>
      <c r="D66" s="1366" t="s">
        <v>1100</v>
      </c>
      <c r="E66" s="1366" t="s">
        <v>1101</v>
      </c>
      <c r="F66" s="1366" t="s">
        <v>1102</v>
      </c>
      <c r="G66" s="1366" t="s">
        <v>1103</v>
      </c>
      <c r="H66" s="1366" t="s">
        <v>1104</v>
      </c>
      <c r="I66" s="1366" t="s">
        <v>1105</v>
      </c>
      <c r="J66" s="1366"/>
      <c r="K66" s="1059"/>
      <c r="L66" s="1059"/>
      <c r="M66" s="1414"/>
      <c r="N66" s="1410"/>
      <c r="O66" s="1410"/>
      <c r="P66" s="1411"/>
      <c r="Q66" s="1402"/>
    </row>
    <row r="67" ht="14.55" spans="1:17">
      <c r="A67" s="1362"/>
      <c r="B67" s="1367"/>
      <c r="C67" s="1368" t="s">
        <v>1106</v>
      </c>
      <c r="D67" s="1368" t="s">
        <v>1106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1107</v>
      </c>
      <c r="D83" s="1366" t="s">
        <v>1108</v>
      </c>
      <c r="E83" s="1366" t="s">
        <v>1109</v>
      </c>
      <c r="F83" s="1366" t="s">
        <v>1110</v>
      </c>
      <c r="G83" s="1366" t="s">
        <v>1111</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1524</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1072</v>
      </c>
      <c r="B101" s="1361" t="s">
        <v>1489</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1076</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1077</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1078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1079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1525</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1493</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1527</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1086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1088</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9 E39 G39 I39">
      <formula1>办公物业管理</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1032</v>
      </c>
      <c r="B1" s="1503" t="s">
        <v>1528</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1072</v>
      </c>
      <c r="B29" s="775" t="s">
        <v>1489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1075</v>
      </c>
      <c r="Q29" s="916" t="str">
        <f t="shared" si="11"/>
        <v>建筑类型</v>
      </c>
      <c r="R29" s="971" t="s">
        <v>1052</v>
      </c>
      <c r="S29" s="972">
        <f t="shared" si="12"/>
        <v>100</v>
      </c>
      <c r="T29" s="971" t="s">
        <v>1052</v>
      </c>
      <c r="U29" s="972">
        <f t="shared" si="13"/>
        <v>100</v>
      </c>
      <c r="V29" s="971" t="s">
        <v>1052</v>
      </c>
      <c r="W29" s="972">
        <f t="shared" si="14"/>
        <v>100</v>
      </c>
      <c r="X29" s="958"/>
      <c r="Y29" s="936" t="s">
        <v>1075</v>
      </c>
      <c r="Z29" s="871" t="str">
        <f t="shared" si="15"/>
        <v>建筑类型</v>
      </c>
      <c r="AA29" s="987">
        <f t="shared" si="3"/>
        <v>1</v>
      </c>
      <c r="AB29" s="987">
        <f t="shared" si="4"/>
        <v>1</v>
      </c>
      <c r="AC29" s="987">
        <f t="shared" si="5"/>
        <v>1</v>
      </c>
    </row>
    <row r="30" s="729" customFormat="1" ht="15" spans="1:29">
      <c r="A30" s="838"/>
      <c r="B30" s="779" t="s">
        <v>1076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1078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1079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1075</v>
      </c>
      <c r="Q35" s="916" t="str">
        <f t="shared" si="11"/>
        <v>市政基础设施</v>
      </c>
      <c r="R35" s="971" t="s">
        <v>1052</v>
      </c>
      <c r="S35" s="972">
        <f t="shared" si="12"/>
        <v>100</v>
      </c>
      <c r="T35" s="971" t="s">
        <v>1052</v>
      </c>
      <c r="U35" s="972">
        <f t="shared" si="13"/>
        <v>100</v>
      </c>
      <c r="V35" s="971" t="s">
        <v>1052</v>
      </c>
      <c r="W35" s="972">
        <f t="shared" si="14"/>
        <v>100</v>
      </c>
      <c r="X35" s="958"/>
      <c r="Y35" s="936" t="s">
        <v>1075</v>
      </c>
      <c r="Z35" s="871" t="str">
        <f t="shared" si="15"/>
        <v>市政基础设施</v>
      </c>
      <c r="AA35" s="987">
        <f t="shared" si="3"/>
        <v>1</v>
      </c>
      <c r="AB35" s="987">
        <f t="shared" si="4"/>
        <v>1</v>
      </c>
      <c r="AC35" s="987">
        <f t="shared" si="5"/>
        <v>1</v>
      </c>
    </row>
    <row r="36" ht="15" spans="1:29">
      <c r="A36" s="830"/>
      <c r="B36" s="779" t="s">
        <v>1088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1529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1089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1090</v>
      </c>
      <c r="B42" s="1490"/>
      <c r="C42" s="1491" t="e">
        <f>R43</f>
        <v>#DIV/0!</v>
      </c>
      <c r="D42" s="851" t="s">
        <v>1091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1096</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1097</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1098</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1099</v>
      </c>
      <c r="D59" s="1009" t="s">
        <v>1100</v>
      </c>
      <c r="E59" s="1009" t="s">
        <v>1101</v>
      </c>
      <c r="F59" s="1009" t="s">
        <v>1102</v>
      </c>
      <c r="G59" s="1009" t="s">
        <v>1103</v>
      </c>
      <c r="H59" s="1009" t="s">
        <v>1104</v>
      </c>
      <c r="I59" s="1009" t="s">
        <v>1105</v>
      </c>
      <c r="J59" s="1009"/>
      <c r="K59" s="1058"/>
      <c r="L59" s="1059"/>
      <c r="M59" s="1060"/>
      <c r="N59" s="1054"/>
      <c r="O59" s="1054"/>
      <c r="P59" s="1055"/>
      <c r="Q59" s="979"/>
    </row>
    <row r="60" ht="14.55" spans="1:17">
      <c r="A60" s="1005"/>
      <c r="B60" s="1010"/>
      <c r="C60" s="1011" t="s">
        <v>1106</v>
      </c>
      <c r="D60" s="1011" t="s">
        <v>1106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1107</v>
      </c>
      <c r="D76" s="1009" t="s">
        <v>1108</v>
      </c>
      <c r="E76" s="1009" t="s">
        <v>1109</v>
      </c>
      <c r="F76" s="1009" t="s">
        <v>1110</v>
      </c>
      <c r="G76" s="1009" t="s">
        <v>1111</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1072</v>
      </c>
      <c r="B88" s="1004" t="s">
        <v>1489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1078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1079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1088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1072</v>
      </c>
      <c r="B26" s="1559" t="s">
        <v>1533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1075</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1075</v>
      </c>
      <c r="Z26" s="871" t="str">
        <f t="shared" ref="Z26:Z36" si="15">Q26</f>
        <v>配套类型</v>
      </c>
      <c r="AA26" s="987">
        <f t="shared" si="3"/>
        <v>1</v>
      </c>
      <c r="AB26" s="987">
        <f t="shared" si="4"/>
        <v>1</v>
      </c>
      <c r="AC26" s="987">
        <f t="shared" si="5"/>
        <v>1</v>
      </c>
    </row>
    <row r="27" s="729" customFormat="1" ht="15" spans="1:29">
      <c r="A27" s="1561"/>
      <c r="B27" s="819" t="s">
        <v>1534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1078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1075</v>
      </c>
      <c r="Q32" s="916" t="str">
        <f t="shared" si="11"/>
        <v>车位类型</v>
      </c>
      <c r="R32" s="971" t="s">
        <v>1052</v>
      </c>
      <c r="S32" s="972">
        <f t="shared" si="12"/>
        <v>100</v>
      </c>
      <c r="T32" s="971" t="s">
        <v>1052</v>
      </c>
      <c r="U32" s="972">
        <f t="shared" si="13"/>
        <v>100</v>
      </c>
      <c r="V32" s="971" t="s">
        <v>1052</v>
      </c>
      <c r="W32" s="972">
        <f t="shared" si="14"/>
        <v>100</v>
      </c>
      <c r="X32" s="958"/>
      <c r="Y32" s="936" t="s">
        <v>1075</v>
      </c>
      <c r="Z32" s="871" t="str">
        <f t="shared" si="15"/>
        <v>车位类型</v>
      </c>
      <c r="AA32" s="987">
        <f t="shared" si="3"/>
        <v>1</v>
      </c>
      <c r="AB32" s="987">
        <f t="shared" si="4"/>
        <v>1</v>
      </c>
      <c r="AC32" s="987">
        <f t="shared" si="5"/>
        <v>1</v>
      </c>
    </row>
    <row r="33" ht="15" spans="1:29">
      <c r="A33" s="1563"/>
      <c r="B33" s="819" t="s">
        <v>1539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1540</v>
      </c>
      <c r="B37" s="1566" t="s">
        <v>1541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1542</v>
      </c>
      <c r="B38" s="1490" t="str">
        <f>B37</f>
        <v>元/平方米</v>
      </c>
      <c r="C38" s="1491" t="e">
        <f>R39</f>
        <v>#DIV/0!</v>
      </c>
      <c r="D38" s="851" t="s">
        <v>1091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1096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1097</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1098</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1099</v>
      </c>
      <c r="D55" s="1009" t="s">
        <v>1100</v>
      </c>
      <c r="E55" s="1009" t="s">
        <v>1101</v>
      </c>
      <c r="F55" s="1009" t="s">
        <v>1102</v>
      </c>
      <c r="G55" s="1009" t="s">
        <v>1103</v>
      </c>
      <c r="H55" s="1009" t="s">
        <v>1104</v>
      </c>
      <c r="I55" s="1009" t="s">
        <v>1105</v>
      </c>
      <c r="J55" s="1009"/>
      <c r="K55" s="1058"/>
      <c r="L55" s="1059"/>
      <c r="M55" s="1060"/>
      <c r="N55" s="1054"/>
      <c r="O55" s="1054"/>
      <c r="P55" s="1055"/>
      <c r="Q55" s="979"/>
    </row>
    <row r="56" ht="14.55" spans="1:17">
      <c r="A56" s="1005"/>
      <c r="B56" s="1010"/>
      <c r="C56" s="1011" t="s">
        <v>1106</v>
      </c>
      <c r="D56" s="1011" t="s">
        <v>1106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1107</v>
      </c>
      <c r="D67" s="1009" t="s">
        <v>1108</v>
      </c>
      <c r="E67" s="1009" t="s">
        <v>1109</v>
      </c>
      <c r="F67" s="1009" t="s">
        <v>1110</v>
      </c>
      <c r="G67" s="1009" t="s">
        <v>1111</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1072</v>
      </c>
      <c r="B79" s="1004" t="s">
        <v>1543</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1534</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1078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1536</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1539</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1072</v>
      </c>
      <c r="B26" s="775" t="s">
        <v>1078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1075</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1075</v>
      </c>
      <c r="Z26" s="871" t="str">
        <f t="shared" ref="Z26:Z34" si="15">Q26</f>
        <v>公共部分装修</v>
      </c>
      <c r="AA26" s="987">
        <f t="shared" si="3"/>
        <v>1</v>
      </c>
      <c r="AB26" s="987">
        <f t="shared" si="4"/>
        <v>1</v>
      </c>
      <c r="AC26" s="987">
        <f t="shared" si="5"/>
        <v>1</v>
      </c>
    </row>
    <row r="27" s="729" customFormat="1" ht="15" spans="1:29">
      <c r="A27" s="838"/>
      <c r="B27" s="779" t="s">
        <v>1535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1075</v>
      </c>
      <c r="Q32" s="916">
        <f t="shared" si="11"/>
        <v>111</v>
      </c>
      <c r="R32" s="971" t="s">
        <v>1052</v>
      </c>
      <c r="S32" s="972">
        <f t="shared" si="12"/>
        <v>100</v>
      </c>
      <c r="T32" s="971" t="s">
        <v>1052</v>
      </c>
      <c r="U32" s="972">
        <f t="shared" si="13"/>
        <v>100</v>
      </c>
      <c r="V32" s="971" t="s">
        <v>1052</v>
      </c>
      <c r="W32" s="972">
        <f t="shared" si="14"/>
        <v>100</v>
      </c>
      <c r="X32" s="958"/>
      <c r="Y32" s="936" t="s">
        <v>1075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1089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1090</v>
      </c>
      <c r="B36" s="1490"/>
      <c r="C36" s="1491" t="e">
        <f>R37</f>
        <v>#DIV/0!</v>
      </c>
      <c r="D36" s="851" t="s">
        <v>1091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1096</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1097</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1098</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1099</v>
      </c>
      <c r="D53" s="1009" t="s">
        <v>1100</v>
      </c>
      <c r="E53" s="1009" t="s">
        <v>1101</v>
      </c>
      <c r="F53" s="1009" t="s">
        <v>1102</v>
      </c>
      <c r="G53" s="1009" t="s">
        <v>1103</v>
      </c>
      <c r="H53" s="1009" t="s">
        <v>1104</v>
      </c>
      <c r="I53" s="1009" t="s">
        <v>1105</v>
      </c>
      <c r="J53" s="1009"/>
      <c r="K53" s="1058"/>
      <c r="L53" s="1059"/>
      <c r="M53" s="1060"/>
      <c r="N53" s="1054"/>
      <c r="O53" s="1054"/>
      <c r="P53" s="1055"/>
      <c r="Q53" s="979"/>
    </row>
    <row r="54" ht="14.55" spans="1:17">
      <c r="A54" s="1005"/>
      <c r="B54" s="1010"/>
      <c r="C54" s="1011" t="s">
        <v>1106</v>
      </c>
      <c r="D54" s="1011" t="s">
        <v>1106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1107</v>
      </c>
      <c r="D65" s="1009" t="s">
        <v>1108</v>
      </c>
      <c r="E65" s="1009" t="s">
        <v>1109</v>
      </c>
      <c r="F65" s="1009" t="s">
        <v>1110</v>
      </c>
      <c r="G65" s="1009" t="s">
        <v>1111</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1072</v>
      </c>
      <c r="B77" s="1004" t="s">
        <v>1078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1536</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1544</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1546</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4" customWidth="1"/>
    <col min="2" max="3" width="12.5" style="3494" customWidth="1"/>
    <col min="4" max="6" width="8.12962962962963" style="3494"/>
    <col min="7" max="7" width="17.5" style="3494" customWidth="1"/>
    <col min="8" max="16384" width="8.12962962962963"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2022年11月18日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1547</v>
      </c>
      <c r="B1" s="1110"/>
      <c r="C1" s="1111" t="s">
        <v>1548</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1549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1075</v>
      </c>
      <c r="Q36" s="511">
        <f t="shared" si="8"/>
        <v>111</v>
      </c>
      <c r="R36" s="1315" t="s">
        <v>1052</v>
      </c>
      <c r="S36" s="1316">
        <f t="shared" si="10"/>
        <v>100</v>
      </c>
      <c r="T36" s="1315" t="s">
        <v>1052</v>
      </c>
      <c r="U36" s="1316">
        <f t="shared" si="11"/>
        <v>100</v>
      </c>
      <c r="V36" s="1315" t="s">
        <v>1052</v>
      </c>
      <c r="W36" s="1316">
        <f t="shared" si="12"/>
        <v>100</v>
      </c>
      <c r="X36" s="1302"/>
      <c r="Y36" s="1287" t="s">
        <v>1075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1072</v>
      </c>
      <c r="B38" s="1202" t="s">
        <v>1553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1075</v>
      </c>
      <c r="Q42" s="511" t="str">
        <f t="shared" si="14"/>
        <v>工程地质条件</v>
      </c>
      <c r="R42" s="1315" t="s">
        <v>1052</v>
      </c>
      <c r="S42" s="1316">
        <f t="shared" si="10"/>
        <v>100</v>
      </c>
      <c r="T42" s="1315" t="s">
        <v>1052</v>
      </c>
      <c r="U42" s="1316">
        <f t="shared" si="11"/>
        <v>100</v>
      </c>
      <c r="V42" s="1315" t="s">
        <v>1052</v>
      </c>
      <c r="W42" s="1316">
        <f t="shared" si="12"/>
        <v>100</v>
      </c>
      <c r="X42" s="1302"/>
      <c r="Y42" s="1287" t="s">
        <v>1075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1540</v>
      </c>
      <c r="B46" s="1214" t="s">
        <v>1558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1090</v>
      </c>
      <c r="B47" s="1222"/>
      <c r="C47" s="1223" t="e">
        <f>R48</f>
        <v>#DIV/0!</v>
      </c>
      <c r="D47" s="851" t="s">
        <v>1091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1559</v>
      </c>
      <c r="B55" s="1233" t="s">
        <v>1560</v>
      </c>
      <c r="C55" s="1234" t="s">
        <v>1561</v>
      </c>
      <c r="D55" s="1235" t="s">
        <v>1562</v>
      </c>
      <c r="E55" s="1236" t="s">
        <v>1563</v>
      </c>
      <c r="F55" s="1237" t="s">
        <v>1564</v>
      </c>
      <c r="G55" s="1238" t="s">
        <v>1565</v>
      </c>
      <c r="H55" s="1238" t="str">
        <f>项目基本情况!G8</f>
        <v>XX</v>
      </c>
      <c r="I55" s="1296" t="s">
        <v>1566</v>
      </c>
      <c r="J55" s="1297"/>
      <c r="K55" s="1298"/>
    </row>
    <row r="56" s="1104" customFormat="1" spans="1:14">
      <c r="A56" s="1239" t="s">
        <v>1567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1576</v>
      </c>
      <c r="B65" s="1336" t="s">
        <v>1106</v>
      </c>
      <c r="C65" s="1336" t="s">
        <v>1106</v>
      </c>
      <c r="D65" s="1336" t="s">
        <v>1106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1096</v>
      </c>
      <c r="B68" s="1320"/>
      <c r="C68" s="1344"/>
      <c r="D68" s="1344"/>
      <c r="E68" s="1344"/>
      <c r="F68" s="1344"/>
      <c r="G68" s="1344"/>
      <c r="H68" s="1344"/>
      <c r="I68" s="1395"/>
      <c r="J68" s="1395"/>
      <c r="K68" s="1396"/>
      <c r="L68" s="1397"/>
      <c r="M68" s="1395"/>
      <c r="N68" s="1395"/>
      <c r="O68" s="1395"/>
      <c r="P68" s="1398"/>
      <c r="Q68" s="1402"/>
    </row>
    <row r="69" s="1106" customFormat="1" ht="14.4" spans="1:16">
      <c r="A69" s="1345" t="s">
        <v>1577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1097</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1098</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1107</v>
      </c>
      <c r="D101" s="1366" t="s">
        <v>1108</v>
      </c>
      <c r="E101" s="1366" t="s">
        <v>1109</v>
      </c>
      <c r="F101" s="1366" t="s">
        <v>1110</v>
      </c>
      <c r="G101" s="1366" t="s">
        <v>1111</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1579</v>
      </c>
      <c r="D103" s="1366" t="s">
        <v>1580</v>
      </c>
      <c r="E103" s="1366" t="s">
        <v>1581</v>
      </c>
      <c r="F103" s="1366" t="s">
        <v>1582</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1552</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1072</v>
      </c>
      <c r="B115" s="1361" t="s">
        <v>1553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1554</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1555</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1556</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1557</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A70">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1547</v>
      </c>
      <c r="B1" s="737"/>
      <c r="C1" s="738" t="s">
        <v>1528</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1549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1075</v>
      </c>
      <c r="Q32" s="916">
        <f t="shared" si="8"/>
        <v>111</v>
      </c>
      <c r="R32" s="971" t="s">
        <v>1052</v>
      </c>
      <c r="S32" s="972">
        <f t="shared" si="10"/>
        <v>100</v>
      </c>
      <c r="T32" s="971" t="s">
        <v>1052</v>
      </c>
      <c r="U32" s="972">
        <f t="shared" si="11"/>
        <v>100</v>
      </c>
      <c r="V32" s="971" t="s">
        <v>1052</v>
      </c>
      <c r="W32" s="972">
        <f t="shared" si="12"/>
        <v>100</v>
      </c>
      <c r="X32" s="958"/>
      <c r="Y32" s="936" t="s">
        <v>1075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1072</v>
      </c>
      <c r="B34" s="831" t="s">
        <v>1553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1075</v>
      </c>
      <c r="Q37" s="916" t="str">
        <f t="shared" si="14"/>
        <v>工程地质条件</v>
      </c>
      <c r="R37" s="971" t="s">
        <v>1052</v>
      </c>
      <c r="S37" s="972">
        <f t="shared" si="10"/>
        <v>100</v>
      </c>
      <c r="T37" s="971" t="s">
        <v>1052</v>
      </c>
      <c r="U37" s="972">
        <f t="shared" si="11"/>
        <v>100</v>
      </c>
      <c r="V37" s="971" t="s">
        <v>1052</v>
      </c>
      <c r="W37" s="972">
        <f t="shared" si="12"/>
        <v>100</v>
      </c>
      <c r="X37" s="958"/>
      <c r="Y37" s="936" t="s">
        <v>1075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1540</v>
      </c>
      <c r="B41" s="841" t="s">
        <v>1584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1090</v>
      </c>
      <c r="B42" s="849"/>
      <c r="C42" s="850" t="e">
        <f>R43</f>
        <v>#DIV/0!</v>
      </c>
      <c r="D42" s="851" t="s">
        <v>1091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1559</v>
      </c>
      <c r="B50" s="866" t="s">
        <v>1560</v>
      </c>
      <c r="C50" s="867" t="s">
        <v>1561</v>
      </c>
      <c r="D50" s="868" t="s">
        <v>1562</v>
      </c>
      <c r="E50" s="869" t="s">
        <v>1563</v>
      </c>
      <c r="F50" s="870" t="s">
        <v>1564</v>
      </c>
      <c r="G50" s="871" t="s">
        <v>1585</v>
      </c>
      <c r="H50" s="871" t="str">
        <f>项目基本情况!G8</f>
        <v>XX</v>
      </c>
      <c r="I50" s="946" t="s">
        <v>1566</v>
      </c>
      <c r="J50" s="947"/>
      <c r="K50" s="948"/>
    </row>
    <row r="51" s="731" customFormat="1" spans="1:15">
      <c r="A51" s="872" t="s">
        <v>1567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1576</v>
      </c>
      <c r="B60" s="884" t="s">
        <v>1106</v>
      </c>
      <c r="C60" s="884" t="s">
        <v>1106</v>
      </c>
      <c r="D60" s="884" t="s">
        <v>1106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1096</v>
      </c>
      <c r="B63" s="892"/>
      <c r="C63" s="893"/>
      <c r="D63" s="893"/>
      <c r="E63" s="893"/>
      <c r="F63" s="894"/>
      <c r="G63" s="894"/>
      <c r="H63" s="893"/>
      <c r="I63" s="950"/>
      <c r="J63" s="950"/>
      <c r="K63" s="951"/>
      <c r="L63" s="952"/>
      <c r="M63" s="950"/>
      <c r="N63" s="950"/>
      <c r="O63" s="950"/>
      <c r="P63" s="953"/>
      <c r="Q63" s="979"/>
    </row>
    <row r="64" s="732" customFormat="1" ht="14.4" spans="1:16">
      <c r="A64" s="895" t="s">
        <v>1577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1097</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1098</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1107</v>
      </c>
      <c r="D92" s="1009" t="s">
        <v>1108</v>
      </c>
      <c r="E92" s="1009" t="s">
        <v>1109</v>
      </c>
      <c r="F92" s="1009" t="s">
        <v>1110</v>
      </c>
      <c r="G92" s="1009" t="s">
        <v>1111</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1579</v>
      </c>
      <c r="D94" s="1009" t="s">
        <v>1580</v>
      </c>
      <c r="E94" s="1009" t="s">
        <v>1581</v>
      </c>
      <c r="F94" s="1009" t="s">
        <v>1582</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1552</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1072</v>
      </c>
      <c r="B106" s="1004" t="s">
        <v>1553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1554</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1556</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1557</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1587</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1588</v>
      </c>
      <c r="S1" s="666" t="s">
        <v>1589</v>
      </c>
      <c r="T1" s="666" t="s">
        <v>1590</v>
      </c>
      <c r="U1" s="666" t="s">
        <v>1591</v>
      </c>
      <c r="V1" s="666" t="s">
        <v>1592</v>
      </c>
      <c r="W1" s="667"/>
      <c r="X1" s="667"/>
      <c r="Y1" s="667"/>
      <c r="Z1" s="667"/>
      <c r="AA1" s="667"/>
      <c r="AB1" s="667"/>
      <c r="AC1" s="667"/>
      <c r="AD1" s="675"/>
      <c r="AE1" s="675"/>
      <c r="AF1" s="675"/>
      <c r="AG1" s="675"/>
      <c r="AH1" s="675"/>
      <c r="AI1" s="675"/>
      <c r="AJ1" s="686"/>
    </row>
    <row r="2" ht="25.2" spans="1:36">
      <c r="A2" s="421" t="s">
        <v>872</v>
      </c>
      <c r="B2" s="422" t="e">
        <f ca="1">C26</f>
        <v>#REF!</v>
      </c>
      <c r="C2" s="423" t="s">
        <v>1549</v>
      </c>
      <c r="D2" s="424" t="s">
        <v>1593</v>
      </c>
      <c r="E2" s="425" t="s">
        <v>1594</v>
      </c>
      <c r="F2" s="424" t="s">
        <v>1595</v>
      </c>
      <c r="G2" s="426" t="str">
        <f>项目基本情况!F9</f>
        <v>六级</v>
      </c>
      <c r="H2" s="427" t="s">
        <v>1596</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1597</v>
      </c>
      <c r="E3" s="425" t="s">
        <v>1598</v>
      </c>
      <c r="F3" s="428" t="s">
        <v>1599</v>
      </c>
      <c r="G3" s="429">
        <f>项目基本情况!C15</f>
        <v>0</v>
      </c>
      <c r="H3" s="430" t="s">
        <v>1600</v>
      </c>
      <c r="I3" s="598"/>
      <c r="J3" s="594" t="s">
        <v>1601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1602</v>
      </c>
      <c r="B5" s="434" t="s">
        <v>1603</v>
      </c>
      <c r="C5" s="435">
        <f>ROUND(IF(E2="商业",C6*C7+C16,(IF(E2="住宅",C6*C12+C16,C6+C16))),0)</f>
        <v>13200</v>
      </c>
      <c r="D5" s="436">
        <f>ROUND(C6+C16,0)</f>
        <v>10000</v>
      </c>
      <c r="E5" s="436"/>
      <c r="F5" s="437"/>
      <c r="G5" s="438"/>
      <c r="H5" s="438"/>
      <c r="I5" s="438"/>
      <c r="J5" s="600"/>
      <c r="K5" s="601"/>
      <c r="L5" s="595" t="s">
        <v>1604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1605</v>
      </c>
      <c r="C6" s="441">
        <f>SUMIF(L1:L12,G2,M1:M12)</f>
        <v>10000</v>
      </c>
      <c r="D6" s="442" t="s">
        <v>1606</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1607</v>
      </c>
      <c r="C7" s="446" t="e">
        <f>IF(C8="不临58条商业街",1,ROUND(1+(1.6*E8+1.2*E9+0.8*E10+0.4*E11)*C9,4))</f>
        <v>#DIV/0!</v>
      </c>
      <c r="D7" s="447" t="s">
        <v>1608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1609</v>
      </c>
      <c r="X7" s="670" t="str">
        <f>G2</f>
        <v>六级</v>
      </c>
      <c r="Y7" s="670" t="s">
        <v>1599</v>
      </c>
      <c r="Z7" s="678">
        <f>G3</f>
        <v>0</v>
      </c>
      <c r="AA7" s="667"/>
      <c r="AB7" s="667"/>
      <c r="AC7" s="667"/>
      <c r="AD7" s="675"/>
      <c r="AE7" s="675"/>
      <c r="AF7" s="675"/>
      <c r="AG7" s="675"/>
      <c r="AH7" s="675"/>
      <c r="AI7" s="675"/>
      <c r="AJ7" s="686"/>
    </row>
    <row r="8" ht="15" spans="1:36">
      <c r="A8" s="450"/>
      <c r="B8" s="430" t="s">
        <v>1610</v>
      </c>
      <c r="C8" s="451"/>
      <c r="D8" s="452" t="s">
        <v>1611</v>
      </c>
      <c r="E8" s="453" t="e">
        <f>ROUND(C11/E7,4)</f>
        <v>#DIV/0!</v>
      </c>
      <c r="F8" s="454" t="s">
        <v>1612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1613</v>
      </c>
      <c r="X8" s="669"/>
      <c r="Y8" s="679" t="s">
        <v>1614</v>
      </c>
      <c r="Z8" s="679" t="s">
        <v>1615</v>
      </c>
      <c r="AA8" s="679" t="s">
        <v>1616</v>
      </c>
      <c r="AB8" s="679" t="s">
        <v>1617</v>
      </c>
      <c r="AC8" s="679" t="s">
        <v>1618</v>
      </c>
      <c r="AD8" s="679" t="s">
        <v>1619</v>
      </c>
      <c r="AE8" s="679" t="s">
        <v>1620</v>
      </c>
      <c r="AF8" s="679" t="s">
        <v>1621</v>
      </c>
      <c r="AG8" s="679" t="s">
        <v>1622</v>
      </c>
      <c r="AH8" s="679" t="s">
        <v>1623</v>
      </c>
      <c r="AI8" s="679" t="s">
        <v>1624</v>
      </c>
      <c r="AJ8" s="679" t="s">
        <v>1625</v>
      </c>
    </row>
    <row r="9" ht="15" spans="1:36">
      <c r="A9" s="450"/>
      <c r="B9" s="430" t="s">
        <v>1626</v>
      </c>
      <c r="C9" s="456">
        <f>SUMIF(修正!C71:C138,C8,修正!E71:E138)</f>
        <v>0</v>
      </c>
      <c r="D9" s="430" t="s">
        <v>1627</v>
      </c>
      <c r="E9" s="430" t="e">
        <f>ROUND(C11/E7,4)</f>
        <v>#DIV/0!</v>
      </c>
      <c r="F9" s="454" t="s">
        <v>1628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1629</v>
      </c>
      <c r="X9" s="672" t="s">
        <v>1630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1631</v>
      </c>
      <c r="C10" s="430">
        <f>SUMIF(修正!C71:C138,C8,修正!F71:F138)</f>
        <v>0</v>
      </c>
      <c r="D10" s="430" t="s">
        <v>1632</v>
      </c>
      <c r="E10" s="430" t="e">
        <f>ROUND(C11/E7,4)</f>
        <v>#DIV/0!</v>
      </c>
      <c r="F10" s="454" t="s">
        <v>1633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1634</v>
      </c>
      <c r="C11" s="457">
        <f>C10/4</f>
        <v>0</v>
      </c>
      <c r="D11" s="457" t="s">
        <v>1635</v>
      </c>
      <c r="E11" s="457" t="e">
        <f>ROUND(C11/E7,4)</f>
        <v>#DIV/0!</v>
      </c>
      <c r="F11" s="458" t="s">
        <v>1636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1637</v>
      </c>
      <c r="X11" s="673" t="s">
        <v>1599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1638</v>
      </c>
      <c r="C12" s="446">
        <f>ROUND(C15*D15*E15*F15*G15*H15*I15*J15,4)</f>
        <v>1.32</v>
      </c>
      <c r="D12" s="461" t="s">
        <v>1639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1641</v>
      </c>
      <c r="C13" s="465" t="s">
        <v>1642</v>
      </c>
      <c r="D13" s="466" t="s">
        <v>1643</v>
      </c>
      <c r="E13" s="466" t="s">
        <v>1644</v>
      </c>
      <c r="F13" s="467" t="s">
        <v>1645</v>
      </c>
      <c r="G13" s="468" t="s">
        <v>1646</v>
      </c>
      <c r="H13" s="468" t="s">
        <v>1646</v>
      </c>
      <c r="I13" s="468" t="s">
        <v>1646</v>
      </c>
      <c r="J13" s="611" t="s">
        <v>1646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1647</v>
      </c>
      <c r="D14" s="470" t="s">
        <v>1648</v>
      </c>
      <c r="E14" s="470" t="s">
        <v>1648</v>
      </c>
      <c r="F14" s="471" t="s">
        <v>1649</v>
      </c>
      <c r="G14" s="472" t="s">
        <v>1650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1651</v>
      </c>
      <c r="C16" s="445">
        <f>ROUND(IF(F17="与级别开发程度一致",0,(G17-E17)/C17),0)</f>
        <v>0</v>
      </c>
      <c r="D16" s="480" t="s">
        <v>1652</v>
      </c>
      <c r="E16" s="481"/>
      <c r="F16" s="480" t="s">
        <v>1653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1654</v>
      </c>
      <c r="C17" s="485">
        <f>SUMPRODUCT((修正!A2:A7=E2)*(修正!B1:M1=G2)*(修正!B2:M7))</f>
        <v>2.5</v>
      </c>
      <c r="D17" s="476" t="str">
        <f>IF(OR(G2="八级",G2="九级",G2="十级",G2="十一级",G2="十二级"),"五通一平","七通一平")</f>
        <v>七通一平</v>
      </c>
      <c r="E17" s="486">
        <f>SUMPRODUCT((修正!B1:M1=G2)*(修正!B17:M17))</f>
        <v>315</v>
      </c>
      <c r="F17" s="487" t="s">
        <v>1655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1656</v>
      </c>
      <c r="B18" s="490" t="s">
        <v>1657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1658</v>
      </c>
      <c r="B19" s="494" t="s">
        <v>1659</v>
      </c>
      <c r="C19" s="495">
        <f>ROUND(IF(H19="按公示增长率计算",SUMPRODUCT((地价!A3:A41=YEAR(G19)&amp;"-"&amp;ROUNDUP(MONTH(G19)/3,0))*(地价!X2:AB2=E2)*(地价!X3:AB41)),IF(H19="地价指数",M20/M19,(1+I19)^O19)),4)</f>
        <v>1.7601</v>
      </c>
      <c r="D19" s="496" t="s">
        <v>1660</v>
      </c>
      <c r="E19" s="497">
        <v>41640</v>
      </c>
      <c r="F19" s="496" t="s">
        <v>1661</v>
      </c>
      <c r="G19" s="498">
        <f>'数据-取费表'!B2</f>
        <v>44883</v>
      </c>
      <c r="H19" s="499" t="s">
        <v>1662</v>
      </c>
      <c r="I19" s="620" t="str">
        <f>IF(H19="季度增幅（自定义）",SUMIF(N21:N24,E2,O21:O24),"")</f>
        <v/>
      </c>
      <c r="J19" s="621"/>
      <c r="K19" s="619"/>
      <c r="L19" s="622" t="s">
        <v>1663</v>
      </c>
      <c r="M19" s="623">
        <f>ROUND(SUMIF(地价!B2:F2,E2,地价!B41:F41),0)</f>
        <v>423</v>
      </c>
      <c r="N19" s="624" t="s">
        <v>1664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1665</v>
      </c>
      <c r="B20" s="501" t="s">
        <v>1666</v>
      </c>
      <c r="C20" s="502">
        <f>ROUND(POWER(1+G20,J20-I20)*(POWER(1+G20,I20)-1)/(POWER(1+G20,J20)-1),4)</f>
        <v>0.6828</v>
      </c>
      <c r="D20" s="503" t="s">
        <v>1667</v>
      </c>
      <c r="E20" s="504">
        <f>存贷款利率!E22/100</f>
        <v>0.0435</v>
      </c>
      <c r="F20" s="503" t="s">
        <v>1668</v>
      </c>
      <c r="G20" s="505">
        <f>SUMIF(M26:P26,E2,M28:P28)</f>
        <v>0.05</v>
      </c>
      <c r="H20" s="503" t="s">
        <v>1669</v>
      </c>
      <c r="I20" s="480">
        <f>'数据-取费表'!B13</f>
        <v>22.13</v>
      </c>
      <c r="J20" s="626">
        <f>IF(E2="住宅",70,IF(E2="商业",40,50))</f>
        <v>70</v>
      </c>
      <c r="K20" s="619"/>
      <c r="L20" s="627" t="s">
        <v>1670</v>
      </c>
      <c r="M20" s="628">
        <f>ROUND(SUMPRODUCT((地价!A4:A41=YEAR(G19)&amp;"-"&amp;ROUNDUP(MONTH(G19)/3,0))*(地价!B2:F2=E2)*(地价!B4:F41)),0)</f>
        <v>744</v>
      </c>
      <c r="N20" s="629" t="s">
        <v>1671</v>
      </c>
      <c r="O20" s="630" t="s">
        <v>1672</v>
      </c>
      <c r="P20" s="631" t="s">
        <v>1673</v>
      </c>
      <c r="Q20" s="619"/>
      <c r="R20" s="561"/>
      <c r="S20" s="561"/>
      <c r="T20" s="561"/>
      <c r="U20" s="561"/>
      <c r="V20" s="561"/>
      <c r="W20" s="561"/>
      <c r="X20" s="416"/>
      <c r="Y20" s="416"/>
      <c r="Z20" s="416"/>
      <c r="AA20" s="416"/>
      <c r="AB20" s="416"/>
      <c r="AC20" s="416"/>
      <c r="AD20" s="416"/>
      <c r="AE20" s="684"/>
      <c r="AF20" s="684"/>
    </row>
    <row r="21" s="413" customFormat="1" ht="14.4" spans="1:32">
      <c r="A21" s="506" t="s">
        <v>1674</v>
      </c>
      <c r="B21" s="507" t="s">
        <v>1675</v>
      </c>
      <c r="C21" s="508">
        <f>IF(B21="容积率修正",IF(G3&lt;=10,D22,J22),C23)</f>
        <v>0</v>
      </c>
      <c r="D21" s="509"/>
      <c r="E21" s="509"/>
      <c r="F21" s="509"/>
      <c r="G21" s="509"/>
      <c r="H21" s="509"/>
      <c r="I21" s="509"/>
      <c r="J21" s="632"/>
      <c r="K21" s="619"/>
      <c r="L21" s="619"/>
      <c r="M21" s="619"/>
      <c r="N21" s="633" t="s">
        <v>1676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1677</v>
      </c>
      <c r="C22" s="511" t="s">
        <v>1678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1679</v>
      </c>
      <c r="J22" s="636" t="str">
        <f>IF(G3&gt;10,D113,"——")</f>
        <v>——</v>
      </c>
      <c r="K22" s="619"/>
      <c r="L22" s="619"/>
      <c r="M22" s="619"/>
      <c r="N22" s="633" t="s">
        <v>1680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1683</v>
      </c>
      <c r="B24" s="517" t="s">
        <v>1684</v>
      </c>
      <c r="C24" s="518">
        <f>SUMIF(A46:A88,E2,B46:B88)</f>
        <v>1</v>
      </c>
      <c r="D24" s="519"/>
      <c r="E24" s="520"/>
      <c r="F24" s="520"/>
      <c r="G24" s="520"/>
      <c r="H24" s="520"/>
      <c r="I24" s="520"/>
      <c r="J24" s="637"/>
      <c r="K24" s="619"/>
      <c r="L24" s="619"/>
      <c r="M24" s="619"/>
      <c r="N24" s="638" t="s">
        <v>1685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1686</v>
      </c>
      <c r="B25" s="521" t="s">
        <v>1687</v>
      </c>
      <c r="C25" s="522"/>
      <c r="D25" s="449"/>
      <c r="E25" s="449"/>
      <c r="F25" s="523"/>
      <c r="G25" s="449"/>
      <c r="H25" s="449"/>
      <c r="I25" s="449"/>
      <c r="J25" s="604"/>
      <c r="K25" s="561"/>
      <c r="L25" s="561"/>
      <c r="M25" s="561"/>
      <c r="N25" s="641" t="s">
        <v>1688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1689</v>
      </c>
      <c r="C26" s="525" t="e">
        <f ca="1">IF(B21="容积率修正",E29+SUM(E33:E39),SUM(V2:V16)+SUM(E33:E39))</f>
        <v>#REF!</v>
      </c>
      <c r="D26" s="526"/>
      <c r="E26" s="473"/>
      <c r="F26" s="527"/>
      <c r="G26" s="473"/>
      <c r="H26" s="473"/>
      <c r="I26" s="473"/>
      <c r="J26" s="644"/>
      <c r="K26" s="561"/>
      <c r="L26" s="645" t="s">
        <v>1690</v>
      </c>
      <c r="M26" s="447" t="s">
        <v>1691</v>
      </c>
      <c r="N26" s="447" t="s">
        <v>1692</v>
      </c>
      <c r="O26" s="447" t="s">
        <v>1693</v>
      </c>
      <c r="P26" s="646" t="s">
        <v>1694</v>
      </c>
      <c r="Q26" s="561"/>
      <c r="R26" s="561"/>
      <c r="S26" s="561"/>
      <c r="T26" s="561"/>
      <c r="U26" s="561"/>
      <c r="V26" s="561"/>
      <c r="W26" s="561"/>
      <c r="X26" s="416"/>
      <c r="Y26" s="416"/>
      <c r="Z26" s="416"/>
      <c r="AA26" s="416"/>
      <c r="AB26" s="416"/>
      <c r="AC26" s="416"/>
      <c r="AD26" s="416"/>
      <c r="AE26" s="416"/>
      <c r="AF26" s="416"/>
    </row>
    <row r="27" ht="15.15" spans="1:32">
      <c r="A27" s="524"/>
      <c r="B27" s="528" t="s">
        <v>1695</v>
      </c>
      <c r="C27" s="529" t="e">
        <f ca="1">E30+SUM(I33:I39)</f>
        <v>#REF!</v>
      </c>
      <c r="D27" s="530"/>
      <c r="E27" s="531"/>
      <c r="F27" s="532"/>
      <c r="G27" s="531"/>
      <c r="H27" s="531"/>
      <c r="I27" s="531"/>
      <c r="J27" s="647"/>
      <c r="K27" s="561"/>
      <c r="L27" s="648" t="s">
        <v>1696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1697</v>
      </c>
      <c r="C28" s="534" t="s">
        <v>1698</v>
      </c>
      <c r="D28" s="534" t="s">
        <v>1699</v>
      </c>
      <c r="E28" s="521" t="s">
        <v>1700</v>
      </c>
      <c r="F28" s="535"/>
      <c r="G28" s="462"/>
      <c r="H28" s="462"/>
      <c r="I28" s="462"/>
      <c r="J28" s="607"/>
      <c r="K28" s="561"/>
      <c r="L28" s="650" t="s">
        <v>1668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1701</v>
      </c>
      <c r="C29" s="536">
        <f>ROUND(C5*C18*C19*C20*C21*C24,0)</f>
        <v>0</v>
      </c>
      <c r="D29" s="537">
        <f>项目基本情况!C12</f>
        <v>644.12</v>
      </c>
      <c r="E29" s="538">
        <f>ROUND(C29*D29,0)</f>
        <v>0</v>
      </c>
      <c r="F29" s="539" t="s">
        <v>1702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1703</v>
      </c>
      <c r="C30" s="476">
        <f>ROUND(IF(E2="工业",C29*M39,C29*M38),0)</f>
        <v>0</v>
      </c>
      <c r="D30" s="542"/>
      <c r="E30" s="538">
        <f>ROUND(C30*D30,0)</f>
        <v>0</v>
      </c>
      <c r="F30" s="543" t="s">
        <v>1704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1705</v>
      </c>
      <c r="C31" s="547" t="s">
        <v>1706</v>
      </c>
      <c r="D31" s="462"/>
      <c r="E31" s="547"/>
      <c r="F31" s="547"/>
      <c r="G31" s="461" t="s">
        <v>1704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1698</v>
      </c>
      <c r="D32" s="550" t="s">
        <v>1699</v>
      </c>
      <c r="E32" s="550" t="s">
        <v>1700</v>
      </c>
      <c r="F32" s="430" t="s">
        <v>1707</v>
      </c>
      <c r="G32" s="512" t="s">
        <v>1698</v>
      </c>
      <c r="H32" s="512" t="s">
        <v>1699</v>
      </c>
      <c r="I32" s="512" t="s">
        <v>1700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1708</v>
      </c>
      <c r="B33" s="552" t="s">
        <v>1709</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1710</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1711</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1713</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1716</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1718</v>
      </c>
      <c r="C41" s="430">
        <f>ROUND(POWER(1+E41,H41-G41)*(POWER(1+E41,G41)-1)/(POWER(1+E41,H41)-1),4)</f>
        <v>0</v>
      </c>
      <c r="D41" s="430" t="s">
        <v>1668</v>
      </c>
      <c r="E41" s="559">
        <f>G20</f>
        <v>0.05</v>
      </c>
      <c r="F41" s="430" t="s">
        <v>1669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1719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1721</v>
      </c>
      <c r="B47" s="572" t="s">
        <v>1722</v>
      </c>
      <c r="C47" s="572" t="s">
        <v>1723</v>
      </c>
      <c r="D47" s="572" t="s">
        <v>1724</v>
      </c>
      <c r="E47" s="573" t="s">
        <v>1725</v>
      </c>
      <c r="F47" s="526" t="s">
        <v>1726</v>
      </c>
      <c r="G47" s="572" t="s">
        <v>1447</v>
      </c>
      <c r="H47" s="574" t="s">
        <v>1727</v>
      </c>
      <c r="I47" s="572" t="s">
        <v>1728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1729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1732</v>
      </c>
      <c r="B51" s="583" t="s">
        <v>1733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1735</v>
      </c>
      <c r="B53" s="584" t="s">
        <v>1736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1739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1721</v>
      </c>
      <c r="B58" s="581"/>
      <c r="C58" s="572" t="s">
        <v>1723</v>
      </c>
      <c r="D58" s="572" t="s">
        <v>1724</v>
      </c>
      <c r="E58" s="573" t="s">
        <v>1725</v>
      </c>
      <c r="F58" s="526" t="s">
        <v>1726</v>
      </c>
      <c r="G58" s="572" t="s">
        <v>1447</v>
      </c>
      <c r="H58" s="574" t="s">
        <v>1727</v>
      </c>
      <c r="I58" s="572" t="s">
        <v>1728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1732</v>
      </c>
      <c r="B62" s="583" t="s">
        <v>1733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1735</v>
      </c>
      <c r="B64" s="584" t="s">
        <v>1736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1739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1721</v>
      </c>
      <c r="B69" s="581"/>
      <c r="C69" s="572" t="s">
        <v>1723</v>
      </c>
      <c r="D69" s="572" t="s">
        <v>1724</v>
      </c>
      <c r="E69" s="573" t="s">
        <v>1725</v>
      </c>
      <c r="F69" s="526" t="s">
        <v>1726</v>
      </c>
      <c r="G69" s="572" t="s">
        <v>1447</v>
      </c>
      <c r="H69" s="574" t="s">
        <v>1727</v>
      </c>
      <c r="I69" s="572" t="s">
        <v>1728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1730</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1731</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1744</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1737</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1738</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1735</v>
      </c>
      <c r="B76" s="584" t="s">
        <v>1736</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1739</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1745</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1721</v>
      </c>
      <c r="B80" s="581"/>
      <c r="C80" s="572" t="s">
        <v>1723</v>
      </c>
      <c r="D80" s="572" t="s">
        <v>1724</v>
      </c>
      <c r="E80" s="573" t="s">
        <v>1725</v>
      </c>
      <c r="F80" s="526" t="s">
        <v>1726</v>
      </c>
      <c r="G80" s="572" t="s">
        <v>1447</v>
      </c>
      <c r="H80" s="574" t="s">
        <v>1727</v>
      </c>
      <c r="I80" s="572" t="s">
        <v>1728</v>
      </c>
      <c r="J80" s="662" t="s">
        <v>224</v>
      </c>
      <c r="K80" s="662" t="s">
        <v>236</v>
      </c>
      <c r="L80" s="662" t="s">
        <v>247</v>
      </c>
      <c r="M80" s="662" t="s">
        <v>257</v>
      </c>
      <c r="N80" s="662" t="s">
        <v>264</v>
      </c>
      <c r="Q80" s="725"/>
      <c r="R80" s="725"/>
      <c r="S80" s="725"/>
      <c r="T80" s="725"/>
      <c r="U80" s="725"/>
      <c r="V80" s="725"/>
      <c r="W80" s="725"/>
      <c r="AA80" s="415"/>
      <c r="AG80" s="414"/>
    </row>
    <row r="81" ht="38.4" spans="1:33">
      <c r="A81" s="571" t="s">
        <v>1747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1735</v>
      </c>
      <c r="B87" s="584" t="s">
        <v>1736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1749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1750</v>
      </c>
      <c r="B91" s="538" t="s">
        <v>1751</v>
      </c>
      <c r="C91" s="539" t="s">
        <v>1752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1614</v>
      </c>
      <c r="D92" s="538" t="s">
        <v>1615</v>
      </c>
      <c r="E92" s="538" t="s">
        <v>1616</v>
      </c>
      <c r="F92" s="538" t="s">
        <v>1617</v>
      </c>
      <c r="G92" s="538" t="s">
        <v>1618</v>
      </c>
      <c r="H92" s="538" t="s">
        <v>1619</v>
      </c>
      <c r="I92" s="538" t="s">
        <v>1620</v>
      </c>
      <c r="J92" s="538" t="s">
        <v>1621</v>
      </c>
      <c r="K92" s="538" t="s">
        <v>1622</v>
      </c>
      <c r="L92" s="538" t="s">
        <v>1623</v>
      </c>
      <c r="M92" s="538" t="s">
        <v>1624</v>
      </c>
      <c r="N92" s="538" t="s">
        <v>1625</v>
      </c>
      <c r="Q92" s="725"/>
      <c r="R92" s="725"/>
      <c r="S92" s="725"/>
      <c r="T92" s="725"/>
      <c r="U92" s="725"/>
      <c r="V92" s="725"/>
      <c r="W92" s="725"/>
    </row>
    <row r="93" spans="1:23">
      <c r="A93" s="695" t="s">
        <v>1753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1754</v>
      </c>
      <c r="B101" s="702" t="s">
        <v>1755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1757</v>
      </c>
      <c r="B113" s="706">
        <f>G3</f>
        <v>0</v>
      </c>
      <c r="C113" s="707" t="s">
        <v>1758</v>
      </c>
      <c r="D113" s="708">
        <f>SUMPRODUCT((A115:A118=F113)*(B114:M114=H113)*B115:M118)</f>
        <v>0.8748</v>
      </c>
      <c r="E113" s="424" t="s">
        <v>1690</v>
      </c>
      <c r="F113" s="709" t="str">
        <f>E2</f>
        <v>住宅</v>
      </c>
      <c r="G113" s="424" t="s">
        <v>1595</v>
      </c>
      <c r="H113" s="709" t="str">
        <f>G2</f>
        <v>六级</v>
      </c>
      <c r="I113" s="424"/>
      <c r="J113" s="720"/>
      <c r="K113" s="720"/>
      <c r="L113" s="720"/>
      <c r="M113" s="720"/>
    </row>
    <row r="114" spans="1:13">
      <c r="A114" s="710"/>
      <c r="B114" s="711" t="s">
        <v>1759</v>
      </c>
      <c r="C114" s="711" t="s">
        <v>1760</v>
      </c>
      <c r="D114" s="711" t="s">
        <v>1761</v>
      </c>
      <c r="E114" s="712" t="s">
        <v>1762</v>
      </c>
      <c r="F114" s="712" t="s">
        <v>1763</v>
      </c>
      <c r="G114" s="712" t="s">
        <v>1764</v>
      </c>
      <c r="H114" s="713" t="s">
        <v>1765</v>
      </c>
      <c r="I114" s="713" t="s">
        <v>1766</v>
      </c>
      <c r="J114" s="721" t="s">
        <v>1767</v>
      </c>
      <c r="K114" s="721" t="s">
        <v>1768</v>
      </c>
      <c r="L114" s="721" t="s">
        <v>1769</v>
      </c>
      <c r="M114" s="722" t="s">
        <v>1770</v>
      </c>
    </row>
    <row r="115" spans="1:13">
      <c r="A115" s="714" t="s">
        <v>1691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1771</v>
      </c>
      <c r="B1" s="296"/>
    </row>
    <row r="2" ht="15.15" spans="1:2">
      <c r="A2" s="296"/>
      <c r="B2" s="296"/>
    </row>
    <row r="3" ht="15.15" spans="1:6">
      <c r="A3" s="296"/>
      <c r="B3" s="296"/>
      <c r="C3" s="392" t="s">
        <v>463</v>
      </c>
      <c r="D3" s="392" t="s">
        <v>1772</v>
      </c>
      <c r="E3" s="392" t="s">
        <v>1594</v>
      </c>
      <c r="F3" s="392" t="s">
        <v>1773</v>
      </c>
    </row>
    <row r="4" ht="15.15" spans="1:6">
      <c r="A4" s="393" t="s">
        <v>1774</v>
      </c>
      <c r="B4" s="394" t="s">
        <v>1775</v>
      </c>
      <c r="C4" s="392"/>
      <c r="D4" s="392"/>
      <c r="E4" s="392"/>
      <c r="F4" s="392"/>
    </row>
    <row r="5" ht="15.15" spans="1:6">
      <c r="A5" s="305" t="s">
        <v>1776</v>
      </c>
      <c r="B5" s="306" t="s">
        <v>1777</v>
      </c>
      <c r="C5" s="395">
        <v>0.089</v>
      </c>
      <c r="D5" s="395">
        <v>0.074</v>
      </c>
      <c r="E5" s="395">
        <v>0.075</v>
      </c>
      <c r="F5" s="396">
        <v>0.1</v>
      </c>
    </row>
    <row r="6" ht="15.15" spans="1:6">
      <c r="A6" s="305" t="s">
        <v>1776</v>
      </c>
      <c r="B6" s="310" t="s">
        <v>1778</v>
      </c>
      <c r="C6" s="397">
        <v>0.1</v>
      </c>
      <c r="D6" s="397">
        <v>0.091</v>
      </c>
      <c r="E6" s="397">
        <v>0.091</v>
      </c>
      <c r="F6" s="398">
        <v>0.1</v>
      </c>
    </row>
    <row r="7" ht="15.15" spans="1:6">
      <c r="A7" s="305" t="s">
        <v>1776</v>
      </c>
      <c r="B7" s="314" t="s">
        <v>1779</v>
      </c>
      <c r="C7" s="397">
        <v>0.086</v>
      </c>
      <c r="D7" s="397">
        <v>0.096</v>
      </c>
      <c r="E7" s="397">
        <v>0.076</v>
      </c>
      <c r="F7" s="398">
        <v>0.1</v>
      </c>
    </row>
    <row r="8" ht="15.15" spans="1:6">
      <c r="A8" s="305" t="s">
        <v>1776</v>
      </c>
      <c r="B8" s="310" t="s">
        <v>1780</v>
      </c>
      <c r="C8" s="397">
        <v>0.099</v>
      </c>
      <c r="D8" s="397">
        <v>0.098</v>
      </c>
      <c r="E8" s="397">
        <v>0.098</v>
      </c>
      <c r="F8" s="398">
        <v>0.1</v>
      </c>
    </row>
    <row r="9" ht="15.15" spans="1:6">
      <c r="A9" s="323" t="s">
        <v>1776</v>
      </c>
      <c r="B9" s="315" t="s">
        <v>1781</v>
      </c>
      <c r="C9" s="399">
        <v>0.05</v>
      </c>
      <c r="D9" s="400"/>
      <c r="E9" s="400"/>
      <c r="F9" s="401"/>
    </row>
    <row r="10" ht="15.15" spans="1:6">
      <c r="A10" s="305" t="s">
        <v>1782</v>
      </c>
      <c r="B10" s="306" t="s">
        <v>1783</v>
      </c>
      <c r="C10" s="395">
        <v>0.089</v>
      </c>
      <c r="D10" s="395">
        <v>0.073</v>
      </c>
      <c r="E10" s="395">
        <v>0.082</v>
      </c>
      <c r="F10" s="396">
        <v>0.1</v>
      </c>
    </row>
    <row r="11" ht="15.15" spans="1:6">
      <c r="A11" s="305" t="s">
        <v>1782</v>
      </c>
      <c r="B11" s="314" t="s">
        <v>1784</v>
      </c>
      <c r="C11" s="397">
        <v>0.089</v>
      </c>
      <c r="D11" s="397">
        <v>0.073</v>
      </c>
      <c r="E11" s="397">
        <v>0.082</v>
      </c>
      <c r="F11" s="398">
        <v>0.1</v>
      </c>
    </row>
    <row r="12" ht="15.15" spans="1:6">
      <c r="A12" s="305" t="s">
        <v>1782</v>
      </c>
      <c r="B12" s="314" t="s">
        <v>1785</v>
      </c>
      <c r="C12" s="397">
        <v>0.061</v>
      </c>
      <c r="D12" s="397">
        <v>0.071</v>
      </c>
      <c r="E12" s="397">
        <v>0.096</v>
      </c>
      <c r="F12" s="398">
        <v>0.1</v>
      </c>
    </row>
    <row r="13" ht="15.15" spans="1:6">
      <c r="A13" s="305" t="s">
        <v>1782</v>
      </c>
      <c r="B13" s="314" t="s">
        <v>1786</v>
      </c>
      <c r="C13" s="397">
        <v>0.069</v>
      </c>
      <c r="D13" s="397">
        <v>0.065</v>
      </c>
      <c r="E13" s="397">
        <v>0.066</v>
      </c>
      <c r="F13" s="398">
        <v>0.1</v>
      </c>
    </row>
    <row r="14" ht="15.15" spans="1:6">
      <c r="A14" s="305" t="s">
        <v>1782</v>
      </c>
      <c r="B14" s="314" t="s">
        <v>1787</v>
      </c>
      <c r="C14" s="397">
        <v>0.1</v>
      </c>
      <c r="D14" s="397">
        <v>0.065</v>
      </c>
      <c r="E14" s="397">
        <v>0.07</v>
      </c>
      <c r="F14" s="398">
        <v>0.1</v>
      </c>
    </row>
    <row r="15" ht="15.15" spans="1:6">
      <c r="A15" s="305" t="s">
        <v>1782</v>
      </c>
      <c r="B15" s="314" t="s">
        <v>1788</v>
      </c>
      <c r="C15" s="397">
        <v>0.098</v>
      </c>
      <c r="D15" s="397">
        <v>0.089</v>
      </c>
      <c r="E15" s="397">
        <v>0.089</v>
      </c>
      <c r="F15" s="398">
        <v>0.1</v>
      </c>
    </row>
    <row r="16" ht="15.15" spans="1:6">
      <c r="A16" s="305" t="s">
        <v>1782</v>
      </c>
      <c r="B16" s="314" t="s">
        <v>1789</v>
      </c>
      <c r="C16" s="397">
        <v>0.07</v>
      </c>
      <c r="D16" s="397">
        <v>0.093</v>
      </c>
      <c r="E16" s="397">
        <v>0.096</v>
      </c>
      <c r="F16" s="398">
        <v>0.1</v>
      </c>
    </row>
    <row r="17" ht="15.15" spans="1:6">
      <c r="A17" s="305" t="s">
        <v>1782</v>
      </c>
      <c r="B17" s="314" t="s">
        <v>1790</v>
      </c>
      <c r="C17" s="397">
        <v>0.095</v>
      </c>
      <c r="D17" s="397">
        <v>0.1</v>
      </c>
      <c r="E17" s="397">
        <v>0.1</v>
      </c>
      <c r="F17" s="402"/>
    </row>
    <row r="18" ht="15.15" spans="1:6">
      <c r="A18" s="305" t="s">
        <v>1782</v>
      </c>
      <c r="B18" s="314" t="s">
        <v>1791</v>
      </c>
      <c r="C18" s="397">
        <v>0.074</v>
      </c>
      <c r="D18" s="397">
        <v>0.099</v>
      </c>
      <c r="E18" s="397">
        <v>0.1</v>
      </c>
      <c r="F18" s="402"/>
    </row>
    <row r="19" ht="15.15" spans="1:6">
      <c r="A19" s="305" t="s">
        <v>1782</v>
      </c>
      <c r="B19" s="314" t="s">
        <v>1792</v>
      </c>
      <c r="C19" s="397">
        <v>0.099</v>
      </c>
      <c r="D19" s="397">
        <v>0.076</v>
      </c>
      <c r="E19" s="397">
        <v>0.087</v>
      </c>
      <c r="F19" s="402"/>
    </row>
    <row r="20" ht="15.15" spans="1:6">
      <c r="A20" s="305" t="s">
        <v>1782</v>
      </c>
      <c r="B20" s="314" t="s">
        <v>1793</v>
      </c>
      <c r="C20" s="397">
        <v>0.098</v>
      </c>
      <c r="D20" s="397">
        <v>0.085</v>
      </c>
      <c r="E20" s="397">
        <v>0.082</v>
      </c>
      <c r="F20" s="402"/>
    </row>
    <row r="21" ht="15.15" spans="1:6">
      <c r="A21" s="305" t="s">
        <v>1782</v>
      </c>
      <c r="B21" s="314" t="s">
        <v>1794</v>
      </c>
      <c r="C21" s="397">
        <v>0.066</v>
      </c>
      <c r="D21" s="397">
        <v>0.064</v>
      </c>
      <c r="E21" s="397">
        <v>0.065</v>
      </c>
      <c r="F21" s="402"/>
    </row>
    <row r="22" ht="15.15" spans="1:6">
      <c r="A22" s="305" t="s">
        <v>1782</v>
      </c>
      <c r="B22" s="314" t="s">
        <v>1795</v>
      </c>
      <c r="C22" s="397">
        <v>0.08</v>
      </c>
      <c r="D22" s="397">
        <v>0.098</v>
      </c>
      <c r="E22" s="397">
        <v>0.098</v>
      </c>
      <c r="F22" s="402"/>
    </row>
    <row r="23" ht="15.15" spans="1:6">
      <c r="A23" s="305" t="s">
        <v>1782</v>
      </c>
      <c r="B23" s="314" t="s">
        <v>1796</v>
      </c>
      <c r="C23" s="397">
        <v>0.099</v>
      </c>
      <c r="D23" s="397">
        <v>0.098</v>
      </c>
      <c r="E23" s="397">
        <v>0.091</v>
      </c>
      <c r="F23" s="402"/>
    </row>
    <row r="24" ht="15.15" spans="1:6">
      <c r="A24" s="305" t="s">
        <v>1782</v>
      </c>
      <c r="B24" s="314" t="s">
        <v>1797</v>
      </c>
      <c r="C24" s="397">
        <v>0.089</v>
      </c>
      <c r="D24" s="397">
        <v>0.097</v>
      </c>
      <c r="E24" s="397">
        <v>0.07</v>
      </c>
      <c r="F24" s="402"/>
    </row>
    <row r="25" ht="15.15" spans="1:6">
      <c r="A25" s="305" t="s">
        <v>1782</v>
      </c>
      <c r="B25" s="314" t="s">
        <v>1798</v>
      </c>
      <c r="C25" s="397">
        <v>0.089</v>
      </c>
      <c r="D25" s="397">
        <v>0.1</v>
      </c>
      <c r="E25" s="397">
        <v>0.081</v>
      </c>
      <c r="F25" s="402"/>
    </row>
    <row r="26" ht="15.15" spans="1:6">
      <c r="A26" s="305" t="s">
        <v>1782</v>
      </c>
      <c r="B26" s="314" t="s">
        <v>1799</v>
      </c>
      <c r="C26" s="403"/>
      <c r="D26" s="397">
        <v>0.096</v>
      </c>
      <c r="E26" s="397">
        <v>0.093</v>
      </c>
      <c r="F26" s="402"/>
    </row>
    <row r="27" ht="15.15" spans="1:6">
      <c r="A27" s="305" t="s">
        <v>1782</v>
      </c>
      <c r="B27" s="314" t="s">
        <v>1800</v>
      </c>
      <c r="C27" s="403"/>
      <c r="D27" s="397">
        <v>0.076</v>
      </c>
      <c r="E27" s="397">
        <v>0.092</v>
      </c>
      <c r="F27" s="402"/>
    </row>
    <row r="28" ht="15.15" spans="1:6">
      <c r="A28" s="323" t="s">
        <v>1782</v>
      </c>
      <c r="B28" s="315" t="s">
        <v>1801</v>
      </c>
      <c r="C28" s="400"/>
      <c r="D28" s="399">
        <v>0.076</v>
      </c>
      <c r="E28" s="399">
        <v>0.092</v>
      </c>
      <c r="F28" s="401"/>
    </row>
    <row r="29" ht="15.15" spans="1:6">
      <c r="A29" s="305" t="s">
        <v>1802</v>
      </c>
      <c r="B29" s="306" t="s">
        <v>1803</v>
      </c>
      <c r="C29" s="395">
        <v>0.064</v>
      </c>
      <c r="D29" s="395">
        <v>0.065</v>
      </c>
      <c r="E29" s="395">
        <v>0.069</v>
      </c>
      <c r="F29" s="396">
        <v>0.1</v>
      </c>
    </row>
    <row r="30" ht="15.15" spans="1:6">
      <c r="A30" s="305" t="s">
        <v>1802</v>
      </c>
      <c r="B30" s="314" t="s">
        <v>1804</v>
      </c>
      <c r="C30" s="397">
        <v>0.064</v>
      </c>
      <c r="D30" s="397">
        <v>0.099</v>
      </c>
      <c r="E30" s="397">
        <v>0.1</v>
      </c>
      <c r="F30" s="398">
        <v>0.1</v>
      </c>
    </row>
    <row r="31" ht="15.15" spans="1:6">
      <c r="A31" s="305" t="s">
        <v>1802</v>
      </c>
      <c r="B31" s="314" t="s">
        <v>1805</v>
      </c>
      <c r="C31" s="397">
        <v>0.1</v>
      </c>
      <c r="D31" s="397">
        <v>0.095</v>
      </c>
      <c r="E31" s="397">
        <v>0.089</v>
      </c>
      <c r="F31" s="398">
        <v>0.1</v>
      </c>
    </row>
    <row r="32" ht="15.15" spans="1:6">
      <c r="A32" s="305" t="s">
        <v>1802</v>
      </c>
      <c r="B32" s="314" t="s">
        <v>1806</v>
      </c>
      <c r="C32" s="397">
        <v>0.05</v>
      </c>
      <c r="D32" s="397">
        <v>0.05</v>
      </c>
      <c r="E32" s="397">
        <v>0.088</v>
      </c>
      <c r="F32" s="398">
        <v>0.1</v>
      </c>
    </row>
    <row r="33" ht="15.15" spans="1:6">
      <c r="A33" s="305" t="s">
        <v>1802</v>
      </c>
      <c r="B33" s="314" t="s">
        <v>1807</v>
      </c>
      <c r="C33" s="397">
        <v>0.075</v>
      </c>
      <c r="D33" s="397">
        <v>0.094</v>
      </c>
      <c r="E33" s="397">
        <v>0.097</v>
      </c>
      <c r="F33" s="398">
        <v>0.1</v>
      </c>
    </row>
    <row r="34" ht="15.15" spans="1:6">
      <c r="A34" s="305" t="s">
        <v>1802</v>
      </c>
      <c r="B34" s="314" t="s">
        <v>1808</v>
      </c>
      <c r="C34" s="397">
        <v>0.098</v>
      </c>
      <c r="D34" s="397">
        <v>0.086</v>
      </c>
      <c r="E34" s="397">
        <v>0.097</v>
      </c>
      <c r="F34" s="398">
        <v>0.1</v>
      </c>
    </row>
    <row r="35" ht="15.15" spans="1:6">
      <c r="A35" s="305" t="s">
        <v>1802</v>
      </c>
      <c r="B35" s="314" t="s">
        <v>1809</v>
      </c>
      <c r="C35" s="397">
        <v>0.059</v>
      </c>
      <c r="D35" s="397">
        <v>0.065</v>
      </c>
      <c r="E35" s="397">
        <v>0.07</v>
      </c>
      <c r="F35" s="398">
        <v>0.1</v>
      </c>
    </row>
    <row r="36" ht="15.15" spans="1:6">
      <c r="A36" s="305" t="s">
        <v>1802</v>
      </c>
      <c r="B36" s="314" t="s">
        <v>1810</v>
      </c>
      <c r="C36" s="397">
        <v>0.063</v>
      </c>
      <c r="D36" s="397">
        <v>0.1</v>
      </c>
      <c r="E36" s="397">
        <v>0.1</v>
      </c>
      <c r="F36" s="398">
        <v>0.1</v>
      </c>
    </row>
    <row r="37" ht="15.15" spans="1:6">
      <c r="A37" s="305" t="s">
        <v>1802</v>
      </c>
      <c r="B37" s="314" t="s">
        <v>1811</v>
      </c>
      <c r="C37" s="397">
        <v>0.074</v>
      </c>
      <c r="D37" s="397">
        <v>0.1</v>
      </c>
      <c r="E37" s="397">
        <v>0.1</v>
      </c>
      <c r="F37" s="398">
        <v>0.1</v>
      </c>
    </row>
    <row r="38" ht="15.15" spans="1:6">
      <c r="A38" s="305" t="s">
        <v>1802</v>
      </c>
      <c r="B38" s="314" t="s">
        <v>1812</v>
      </c>
      <c r="C38" s="397">
        <v>0.1</v>
      </c>
      <c r="D38" s="397">
        <v>0.096</v>
      </c>
      <c r="E38" s="397">
        <v>0.096</v>
      </c>
      <c r="F38" s="402"/>
    </row>
    <row r="39" ht="15.15" spans="1:6">
      <c r="A39" s="305" t="s">
        <v>1802</v>
      </c>
      <c r="B39" s="314" t="s">
        <v>1813</v>
      </c>
      <c r="C39" s="397">
        <v>0.1</v>
      </c>
      <c r="D39" s="397">
        <v>0.096</v>
      </c>
      <c r="E39" s="397">
        <v>0.096</v>
      </c>
      <c r="F39" s="402"/>
    </row>
    <row r="40" ht="15.15" spans="1:6">
      <c r="A40" s="305" t="s">
        <v>1802</v>
      </c>
      <c r="B40" s="314" t="s">
        <v>1814</v>
      </c>
      <c r="C40" s="397">
        <v>0.096</v>
      </c>
      <c r="D40" s="397">
        <v>0.1</v>
      </c>
      <c r="E40" s="397">
        <v>0.099</v>
      </c>
      <c r="F40" s="402"/>
    </row>
    <row r="41" ht="15.15" spans="1:6">
      <c r="A41" s="305" t="s">
        <v>1802</v>
      </c>
      <c r="B41" s="314" t="s">
        <v>1815</v>
      </c>
      <c r="C41" s="397">
        <v>0.096</v>
      </c>
      <c r="D41" s="397">
        <v>0.098</v>
      </c>
      <c r="E41" s="397">
        <v>0.098</v>
      </c>
      <c r="F41" s="402"/>
    </row>
    <row r="42" ht="15.15" spans="1:6">
      <c r="A42" s="305" t="s">
        <v>1802</v>
      </c>
      <c r="B42" s="314" t="s">
        <v>1816</v>
      </c>
      <c r="C42" s="397">
        <v>0.1</v>
      </c>
      <c r="D42" s="397">
        <v>0.088</v>
      </c>
      <c r="E42" s="397">
        <v>0.1</v>
      </c>
      <c r="F42" s="402"/>
    </row>
    <row r="43" ht="15.15" spans="1:6">
      <c r="A43" s="305" t="s">
        <v>1802</v>
      </c>
      <c r="B43" s="314" t="s">
        <v>1817</v>
      </c>
      <c r="C43" s="397">
        <v>0.098</v>
      </c>
      <c r="D43" s="397">
        <v>0.097</v>
      </c>
      <c r="E43" s="397">
        <v>0.096</v>
      </c>
      <c r="F43" s="402"/>
    </row>
    <row r="44" ht="15.15" spans="1:6">
      <c r="A44" s="305" t="s">
        <v>1802</v>
      </c>
      <c r="B44" s="314" t="s">
        <v>1818</v>
      </c>
      <c r="C44" s="397">
        <v>0.086</v>
      </c>
      <c r="D44" s="397">
        <v>0.079</v>
      </c>
      <c r="E44" s="397">
        <v>0.071</v>
      </c>
      <c r="F44" s="402"/>
    </row>
    <row r="45" ht="15.15" spans="1:6">
      <c r="A45" s="305" t="s">
        <v>1802</v>
      </c>
      <c r="B45" s="314" t="s">
        <v>1819</v>
      </c>
      <c r="C45" s="397">
        <v>0.098</v>
      </c>
      <c r="D45" s="397">
        <v>0.096</v>
      </c>
      <c r="E45" s="397">
        <v>0.096</v>
      </c>
      <c r="F45" s="402"/>
    </row>
    <row r="46" ht="15.15" spans="1:6">
      <c r="A46" s="305" t="s">
        <v>1802</v>
      </c>
      <c r="B46" s="314" t="s">
        <v>1820</v>
      </c>
      <c r="C46" s="397">
        <v>0.086</v>
      </c>
      <c r="D46" s="397">
        <v>0.098</v>
      </c>
      <c r="E46" s="397">
        <v>0.088</v>
      </c>
      <c r="F46" s="402"/>
    </row>
    <row r="47" ht="15.15" spans="1:6">
      <c r="A47" s="305" t="s">
        <v>1802</v>
      </c>
      <c r="B47" s="314" t="s">
        <v>1821</v>
      </c>
      <c r="C47" s="397">
        <v>0.096</v>
      </c>
      <c r="D47" s="403"/>
      <c r="E47" s="397">
        <v>0.069</v>
      </c>
      <c r="F47" s="402"/>
    </row>
    <row r="48" ht="15.15" spans="1:6">
      <c r="A48" s="323" t="s">
        <v>1802</v>
      </c>
      <c r="B48" s="315" t="s">
        <v>1822</v>
      </c>
      <c r="C48" s="399">
        <v>0.098</v>
      </c>
      <c r="D48" s="400"/>
      <c r="E48" s="399">
        <v>0.095</v>
      </c>
      <c r="F48" s="401"/>
    </row>
    <row r="49" ht="15.15" spans="1:6">
      <c r="A49" s="305" t="s">
        <v>1823</v>
      </c>
      <c r="B49" s="306" t="s">
        <v>1824</v>
      </c>
      <c r="C49" s="395">
        <v>0.097</v>
      </c>
      <c r="D49" s="395">
        <v>0.095</v>
      </c>
      <c r="E49" s="395">
        <v>0.097</v>
      </c>
      <c r="F49" s="396">
        <v>0.1</v>
      </c>
    </row>
    <row r="50" ht="15.15" spans="1:6">
      <c r="A50" s="305" t="s">
        <v>1823</v>
      </c>
      <c r="B50" s="310" t="s">
        <v>1825</v>
      </c>
      <c r="C50" s="397">
        <v>0.075</v>
      </c>
      <c r="D50" s="397">
        <v>0.095</v>
      </c>
      <c r="E50" s="397">
        <v>0.1</v>
      </c>
      <c r="F50" s="398">
        <v>0.1</v>
      </c>
    </row>
    <row r="51" ht="15.15" spans="1:6">
      <c r="A51" s="305" t="s">
        <v>1823</v>
      </c>
      <c r="B51" s="310" t="s">
        <v>1826</v>
      </c>
      <c r="C51" s="397">
        <v>0.098</v>
      </c>
      <c r="D51" s="397">
        <v>0.089</v>
      </c>
      <c r="E51" s="397">
        <v>0.1</v>
      </c>
      <c r="F51" s="398">
        <v>0.1</v>
      </c>
    </row>
    <row r="52" ht="15.15" spans="1:6">
      <c r="A52" s="305" t="s">
        <v>1823</v>
      </c>
      <c r="B52" s="310" t="s">
        <v>1827</v>
      </c>
      <c r="C52" s="397">
        <v>0.098</v>
      </c>
      <c r="D52" s="397">
        <v>0.097</v>
      </c>
      <c r="E52" s="397">
        <v>0.081</v>
      </c>
      <c r="F52" s="398">
        <v>0.1</v>
      </c>
    </row>
    <row r="53" ht="15.15" spans="1:6">
      <c r="A53" s="305" t="s">
        <v>1823</v>
      </c>
      <c r="B53" s="310" t="s">
        <v>1828</v>
      </c>
      <c r="C53" s="397">
        <v>0.097</v>
      </c>
      <c r="D53" s="397">
        <v>0.076</v>
      </c>
      <c r="E53" s="397">
        <v>0.071</v>
      </c>
      <c r="F53" s="398">
        <v>0.1</v>
      </c>
    </row>
    <row r="54" ht="15.15" spans="1:6">
      <c r="A54" s="305" t="s">
        <v>1823</v>
      </c>
      <c r="B54" s="310" t="s">
        <v>1829</v>
      </c>
      <c r="C54" s="397">
        <v>0.076</v>
      </c>
      <c r="D54" s="397">
        <v>0.1</v>
      </c>
      <c r="E54" s="397">
        <v>0.099</v>
      </c>
      <c r="F54" s="398">
        <v>0.1</v>
      </c>
    </row>
    <row r="55" ht="15.15" spans="1:6">
      <c r="A55" s="305" t="s">
        <v>1823</v>
      </c>
      <c r="B55" s="310" t="s">
        <v>1830</v>
      </c>
      <c r="C55" s="397">
        <v>0.1</v>
      </c>
      <c r="D55" s="397">
        <v>0.1</v>
      </c>
      <c r="E55" s="397">
        <v>0.096</v>
      </c>
      <c r="F55" s="398">
        <v>0.1</v>
      </c>
    </row>
    <row r="56" ht="15.15" spans="1:6">
      <c r="A56" s="305" t="s">
        <v>1823</v>
      </c>
      <c r="B56" s="310" t="s">
        <v>1831</v>
      </c>
      <c r="C56" s="397">
        <v>0.1</v>
      </c>
      <c r="D56" s="397">
        <v>0.096</v>
      </c>
      <c r="E56" s="397">
        <v>0.052</v>
      </c>
      <c r="F56" s="398">
        <v>0.1</v>
      </c>
    </row>
    <row r="57" ht="15.15" spans="1:6">
      <c r="A57" s="305" t="s">
        <v>1823</v>
      </c>
      <c r="B57" s="310" t="s">
        <v>1832</v>
      </c>
      <c r="C57" s="397">
        <v>0.097</v>
      </c>
      <c r="D57" s="397">
        <v>0.096</v>
      </c>
      <c r="E57" s="397">
        <v>0.096</v>
      </c>
      <c r="F57" s="398">
        <v>0.1</v>
      </c>
    </row>
    <row r="58" ht="15.15" spans="1:6">
      <c r="A58" s="305" t="s">
        <v>1823</v>
      </c>
      <c r="B58" s="310" t="s">
        <v>1833</v>
      </c>
      <c r="C58" s="397">
        <v>0.096</v>
      </c>
      <c r="D58" s="397">
        <v>0.099</v>
      </c>
      <c r="E58" s="397">
        <v>0.096</v>
      </c>
      <c r="F58" s="398">
        <v>0.1</v>
      </c>
    </row>
    <row r="59" ht="15.15" spans="1:6">
      <c r="A59" s="305" t="s">
        <v>1823</v>
      </c>
      <c r="B59" s="310" t="s">
        <v>1834</v>
      </c>
      <c r="C59" s="397">
        <v>0.072</v>
      </c>
      <c r="D59" s="397">
        <v>0.096</v>
      </c>
      <c r="E59" s="397">
        <v>0.071</v>
      </c>
      <c r="F59" s="398">
        <v>0.1</v>
      </c>
    </row>
    <row r="60" ht="15.15" spans="1:6">
      <c r="A60" s="305" t="s">
        <v>1823</v>
      </c>
      <c r="B60" s="310" t="s">
        <v>1835</v>
      </c>
      <c r="C60" s="397">
        <v>0.096</v>
      </c>
      <c r="D60" s="397">
        <v>0.089</v>
      </c>
      <c r="E60" s="397">
        <v>0.096</v>
      </c>
      <c r="F60" s="398">
        <v>0.1</v>
      </c>
    </row>
    <row r="61" ht="15.15" spans="1:6">
      <c r="A61" s="305" t="s">
        <v>1823</v>
      </c>
      <c r="B61" s="310" t="s">
        <v>1836</v>
      </c>
      <c r="C61" s="397">
        <v>0.089</v>
      </c>
      <c r="D61" s="397">
        <v>0.098</v>
      </c>
      <c r="E61" s="397">
        <v>0.088</v>
      </c>
      <c r="F61" s="402"/>
    </row>
    <row r="62" ht="15.15" spans="1:6">
      <c r="A62" s="305" t="s">
        <v>1823</v>
      </c>
      <c r="B62" s="310" t="s">
        <v>1837</v>
      </c>
      <c r="C62" s="397">
        <v>0.098</v>
      </c>
      <c r="D62" s="397">
        <v>0.093</v>
      </c>
      <c r="E62" s="397">
        <v>0.097</v>
      </c>
      <c r="F62" s="402"/>
    </row>
    <row r="63" ht="15.15" spans="1:6">
      <c r="A63" s="305" t="s">
        <v>1823</v>
      </c>
      <c r="B63" s="310" t="s">
        <v>1838</v>
      </c>
      <c r="C63" s="397">
        <v>0.096</v>
      </c>
      <c r="D63" s="397">
        <v>0.098</v>
      </c>
      <c r="E63" s="397">
        <v>0.09</v>
      </c>
      <c r="F63" s="402"/>
    </row>
    <row r="64" ht="15.15" spans="1:6">
      <c r="A64" s="305" t="s">
        <v>1823</v>
      </c>
      <c r="B64" s="310" t="s">
        <v>1839</v>
      </c>
      <c r="C64" s="397">
        <v>0.099</v>
      </c>
      <c r="D64" s="397">
        <v>0.097</v>
      </c>
      <c r="E64" s="397">
        <v>0.099</v>
      </c>
      <c r="F64" s="402"/>
    </row>
    <row r="65" ht="15.15" spans="1:6">
      <c r="A65" s="305" t="s">
        <v>1823</v>
      </c>
      <c r="B65" s="310" t="s">
        <v>1840</v>
      </c>
      <c r="C65" s="397">
        <v>0.098</v>
      </c>
      <c r="D65" s="397">
        <v>0.096</v>
      </c>
      <c r="E65" s="397">
        <v>0.096</v>
      </c>
      <c r="F65" s="402"/>
    </row>
    <row r="66" ht="15.15" spans="1:6">
      <c r="A66" s="305" t="s">
        <v>1823</v>
      </c>
      <c r="B66" s="310" t="s">
        <v>1841</v>
      </c>
      <c r="C66" s="397">
        <v>0.096</v>
      </c>
      <c r="D66" s="397">
        <v>0.092</v>
      </c>
      <c r="E66" s="397">
        <v>0.096</v>
      </c>
      <c r="F66" s="402"/>
    </row>
    <row r="67" ht="15.15" spans="1:6">
      <c r="A67" s="305" t="s">
        <v>1823</v>
      </c>
      <c r="B67" s="310" t="s">
        <v>1842</v>
      </c>
      <c r="C67" s="397">
        <v>0.094</v>
      </c>
      <c r="D67" s="397">
        <v>0.1</v>
      </c>
      <c r="E67" s="397">
        <v>0.088</v>
      </c>
      <c r="F67" s="402"/>
    </row>
    <row r="68" ht="15.15" spans="1:6">
      <c r="A68" s="305" t="s">
        <v>1823</v>
      </c>
      <c r="B68" s="310" t="s">
        <v>1843</v>
      </c>
      <c r="C68" s="397">
        <v>0.1</v>
      </c>
      <c r="D68" s="397">
        <v>0.088</v>
      </c>
      <c r="E68" s="397">
        <v>0.097</v>
      </c>
      <c r="F68" s="402"/>
    </row>
    <row r="69" ht="15.15" spans="1:6">
      <c r="A69" s="305" t="s">
        <v>1823</v>
      </c>
      <c r="B69" s="310" t="s">
        <v>1844</v>
      </c>
      <c r="C69" s="397">
        <v>0.064</v>
      </c>
      <c r="D69" s="397">
        <v>0.1</v>
      </c>
      <c r="E69" s="397">
        <v>0.1</v>
      </c>
      <c r="F69" s="402"/>
    </row>
    <row r="70" ht="15.15" spans="1:6">
      <c r="A70" s="305" t="s">
        <v>1823</v>
      </c>
      <c r="B70" s="310" t="s">
        <v>1845</v>
      </c>
      <c r="C70" s="397">
        <v>0.091</v>
      </c>
      <c r="D70" s="403"/>
      <c r="E70" s="403"/>
      <c r="F70" s="402"/>
    </row>
    <row r="71" ht="15.15" spans="1:6">
      <c r="A71" s="305" t="s">
        <v>1823</v>
      </c>
      <c r="B71" s="310" t="s">
        <v>1846</v>
      </c>
      <c r="C71" s="397">
        <v>0.1</v>
      </c>
      <c r="D71" s="403"/>
      <c r="E71" s="403"/>
      <c r="F71" s="402"/>
    </row>
    <row r="72" ht="24.75" spans="1:6">
      <c r="A72" s="305" t="s">
        <v>1823</v>
      </c>
      <c r="B72" s="310" t="s">
        <v>1847</v>
      </c>
      <c r="C72" s="403"/>
      <c r="D72" s="403"/>
      <c r="E72" s="403"/>
      <c r="F72" s="398">
        <v>0.05</v>
      </c>
    </row>
    <row r="73" ht="24.75" spans="1:6">
      <c r="A73" s="305" t="s">
        <v>1823</v>
      </c>
      <c r="B73" s="310" t="s">
        <v>1848</v>
      </c>
      <c r="C73" s="403"/>
      <c r="D73" s="403"/>
      <c r="E73" s="403"/>
      <c r="F73" s="398">
        <v>0.05</v>
      </c>
    </row>
    <row r="74" ht="24.75" spans="1:6">
      <c r="A74" s="305" t="s">
        <v>1823</v>
      </c>
      <c r="B74" s="310" t="s">
        <v>1849</v>
      </c>
      <c r="C74" s="403"/>
      <c r="D74" s="403"/>
      <c r="E74" s="403"/>
      <c r="F74" s="398">
        <v>0.05</v>
      </c>
    </row>
    <row r="75" ht="24.75" spans="1:6">
      <c r="A75" s="323" t="s">
        <v>1823</v>
      </c>
      <c r="B75" s="316" t="s">
        <v>1850</v>
      </c>
      <c r="C75" s="400"/>
      <c r="D75" s="400"/>
      <c r="E75" s="400"/>
      <c r="F75" s="404">
        <v>0.05</v>
      </c>
    </row>
    <row r="76" ht="15.15" spans="1:6">
      <c r="A76" s="305" t="s">
        <v>1851</v>
      </c>
      <c r="B76" s="306" t="s">
        <v>1852</v>
      </c>
      <c r="C76" s="395">
        <v>0.1</v>
      </c>
      <c r="D76" s="395">
        <v>0.1</v>
      </c>
      <c r="E76" s="395">
        <v>0.1</v>
      </c>
      <c r="F76" s="396">
        <v>0.1</v>
      </c>
    </row>
    <row r="77" ht="15.15" spans="1:6">
      <c r="A77" s="305" t="s">
        <v>1851</v>
      </c>
      <c r="B77" s="310" t="s">
        <v>1853</v>
      </c>
      <c r="C77" s="397">
        <v>0.088</v>
      </c>
      <c r="D77" s="397">
        <v>0.087</v>
      </c>
      <c r="E77" s="397">
        <v>0.079</v>
      </c>
      <c r="F77" s="398">
        <v>0.1</v>
      </c>
    </row>
    <row r="78" ht="15.15" spans="1:6">
      <c r="A78" s="305" t="s">
        <v>1851</v>
      </c>
      <c r="B78" s="310" t="s">
        <v>1854</v>
      </c>
      <c r="C78" s="397">
        <v>0.087</v>
      </c>
      <c r="D78" s="397">
        <v>0.084</v>
      </c>
      <c r="E78" s="397">
        <v>0.096</v>
      </c>
      <c r="F78" s="398">
        <v>0.1</v>
      </c>
    </row>
    <row r="79" ht="15.15" spans="1:6">
      <c r="A79" s="305" t="s">
        <v>1851</v>
      </c>
      <c r="B79" s="310" t="s">
        <v>1855</v>
      </c>
      <c r="C79" s="397">
        <v>0.098</v>
      </c>
      <c r="D79" s="397">
        <v>0.098</v>
      </c>
      <c r="E79" s="397">
        <v>0.091</v>
      </c>
      <c r="F79" s="398">
        <v>0.1</v>
      </c>
    </row>
    <row r="80" ht="15.15" spans="1:6">
      <c r="A80" s="305" t="s">
        <v>1851</v>
      </c>
      <c r="B80" s="310" t="s">
        <v>1856</v>
      </c>
      <c r="C80" s="397">
        <v>0.096</v>
      </c>
      <c r="D80" s="397">
        <v>0.096</v>
      </c>
      <c r="E80" s="397">
        <v>0.1</v>
      </c>
      <c r="F80" s="398">
        <v>0.1</v>
      </c>
    </row>
    <row r="81" ht="15.15" spans="1:6">
      <c r="A81" s="305" t="s">
        <v>1851</v>
      </c>
      <c r="B81" s="310" t="s">
        <v>1857</v>
      </c>
      <c r="C81" s="397">
        <v>0.099</v>
      </c>
      <c r="D81" s="397">
        <v>0.099</v>
      </c>
      <c r="E81" s="397">
        <v>0.098</v>
      </c>
      <c r="F81" s="398">
        <v>0.1</v>
      </c>
    </row>
    <row r="82" ht="15.15" spans="1:6">
      <c r="A82" s="305" t="s">
        <v>1851</v>
      </c>
      <c r="B82" s="310" t="s">
        <v>1858</v>
      </c>
      <c r="C82" s="397">
        <v>0.099</v>
      </c>
      <c r="D82" s="397">
        <v>0.099</v>
      </c>
      <c r="E82" s="397">
        <v>0.097</v>
      </c>
      <c r="F82" s="398">
        <v>0.1</v>
      </c>
    </row>
    <row r="83" ht="15.15" spans="1:6">
      <c r="A83" s="305" t="s">
        <v>1851</v>
      </c>
      <c r="B83" s="310" t="s">
        <v>1859</v>
      </c>
      <c r="C83" s="397">
        <v>0.098</v>
      </c>
      <c r="D83" s="397">
        <v>0.098</v>
      </c>
      <c r="E83" s="397">
        <v>0.098</v>
      </c>
      <c r="F83" s="398">
        <v>0.1</v>
      </c>
    </row>
    <row r="84" ht="15.15" spans="1:6">
      <c r="A84" s="305" t="s">
        <v>1851</v>
      </c>
      <c r="B84" s="310" t="s">
        <v>1860</v>
      </c>
      <c r="C84" s="397">
        <v>0.099</v>
      </c>
      <c r="D84" s="397">
        <v>0.099</v>
      </c>
      <c r="E84" s="397">
        <v>0.099</v>
      </c>
      <c r="F84" s="398">
        <v>0.1</v>
      </c>
    </row>
    <row r="85" ht="15.15" spans="1:6">
      <c r="A85" s="305" t="s">
        <v>1851</v>
      </c>
      <c r="B85" s="310" t="s">
        <v>1861</v>
      </c>
      <c r="C85" s="397">
        <v>0.099</v>
      </c>
      <c r="D85" s="397">
        <v>0.099</v>
      </c>
      <c r="E85" s="397">
        <v>0.099</v>
      </c>
      <c r="F85" s="398">
        <v>0.1</v>
      </c>
    </row>
    <row r="86" ht="15.15" spans="1:6">
      <c r="A86" s="305" t="s">
        <v>1851</v>
      </c>
      <c r="B86" s="310" t="s">
        <v>1862</v>
      </c>
      <c r="C86" s="397">
        <v>0.1</v>
      </c>
      <c r="D86" s="397">
        <v>0.1</v>
      </c>
      <c r="E86" s="397">
        <v>0.077</v>
      </c>
      <c r="F86" s="398">
        <v>0.1</v>
      </c>
    </row>
    <row r="87" ht="15.15" spans="1:6">
      <c r="A87" s="305" t="s">
        <v>1851</v>
      </c>
      <c r="B87" s="310" t="s">
        <v>1863</v>
      </c>
      <c r="C87" s="397">
        <v>0.1</v>
      </c>
      <c r="D87" s="397">
        <v>0.1</v>
      </c>
      <c r="E87" s="397">
        <v>0.098</v>
      </c>
      <c r="F87" s="402"/>
    </row>
    <row r="88" ht="15.15" spans="1:6">
      <c r="A88" s="305" t="s">
        <v>1851</v>
      </c>
      <c r="B88" s="310" t="s">
        <v>1864</v>
      </c>
      <c r="C88" s="397">
        <v>0.092</v>
      </c>
      <c r="D88" s="397">
        <v>0.085</v>
      </c>
      <c r="E88" s="397">
        <v>0.096</v>
      </c>
      <c r="F88" s="402"/>
    </row>
    <row r="89" ht="15.15" spans="1:6">
      <c r="A89" s="305" t="s">
        <v>1851</v>
      </c>
      <c r="B89" s="310" t="s">
        <v>1865</v>
      </c>
      <c r="C89" s="397">
        <v>0.1</v>
      </c>
      <c r="D89" s="397">
        <v>0.1</v>
      </c>
      <c r="E89" s="397">
        <v>0.097</v>
      </c>
      <c r="F89" s="402"/>
    </row>
    <row r="90" ht="15.15" spans="1:6">
      <c r="A90" s="305" t="s">
        <v>1851</v>
      </c>
      <c r="B90" s="310" t="s">
        <v>1866</v>
      </c>
      <c r="C90" s="397">
        <v>0.098</v>
      </c>
      <c r="D90" s="397">
        <v>0.098</v>
      </c>
      <c r="E90" s="397">
        <v>0.088</v>
      </c>
      <c r="F90" s="402"/>
    </row>
    <row r="91" ht="15.15" spans="1:6">
      <c r="A91" s="305" t="s">
        <v>1851</v>
      </c>
      <c r="B91" s="310" t="s">
        <v>1867</v>
      </c>
      <c r="C91" s="397">
        <v>0.099</v>
      </c>
      <c r="D91" s="397">
        <v>0.099</v>
      </c>
      <c r="E91" s="397">
        <v>0.091</v>
      </c>
      <c r="F91" s="402"/>
    </row>
    <row r="92" ht="15.15" spans="1:6">
      <c r="A92" s="305" t="s">
        <v>1851</v>
      </c>
      <c r="B92" s="310" t="s">
        <v>1868</v>
      </c>
      <c r="C92" s="397">
        <v>0.096</v>
      </c>
      <c r="D92" s="397">
        <v>0.096</v>
      </c>
      <c r="E92" s="397">
        <v>0.073</v>
      </c>
      <c r="F92" s="402"/>
    </row>
    <row r="93" ht="15.15" spans="1:6">
      <c r="A93" s="305" t="s">
        <v>1851</v>
      </c>
      <c r="B93" s="310" t="s">
        <v>1869</v>
      </c>
      <c r="C93" s="397">
        <v>0.096</v>
      </c>
      <c r="D93" s="397">
        <v>0.096</v>
      </c>
      <c r="E93" s="397">
        <v>0.099</v>
      </c>
      <c r="F93" s="402"/>
    </row>
    <row r="94" ht="15.15" spans="1:6">
      <c r="A94" s="305" t="s">
        <v>1851</v>
      </c>
      <c r="B94" s="310" t="s">
        <v>1870</v>
      </c>
      <c r="C94" s="397">
        <v>0.076</v>
      </c>
      <c r="D94" s="397">
        <v>0.074</v>
      </c>
      <c r="E94" s="397">
        <v>0.097</v>
      </c>
      <c r="F94" s="402"/>
    </row>
    <row r="95" ht="15.15" spans="1:6">
      <c r="A95" s="305" t="s">
        <v>1851</v>
      </c>
      <c r="B95" s="310" t="s">
        <v>1871</v>
      </c>
      <c r="C95" s="397">
        <v>0.099</v>
      </c>
      <c r="D95" s="397">
        <v>0.094</v>
      </c>
      <c r="E95" s="397">
        <v>0.096</v>
      </c>
      <c r="F95" s="402"/>
    </row>
    <row r="96" ht="15.15" spans="1:6">
      <c r="A96" s="305" t="s">
        <v>1851</v>
      </c>
      <c r="B96" s="310" t="s">
        <v>1872</v>
      </c>
      <c r="C96" s="397">
        <v>0.099</v>
      </c>
      <c r="D96" s="397">
        <v>0.099</v>
      </c>
      <c r="E96" s="397">
        <v>0.099</v>
      </c>
      <c r="F96" s="402"/>
    </row>
    <row r="97" ht="15.15" spans="1:6">
      <c r="A97" s="305" t="s">
        <v>1851</v>
      </c>
      <c r="B97" s="310" t="s">
        <v>1873</v>
      </c>
      <c r="C97" s="397">
        <v>0.098</v>
      </c>
      <c r="D97" s="397">
        <v>0.098</v>
      </c>
      <c r="E97" s="397">
        <v>0.097</v>
      </c>
      <c r="F97" s="402"/>
    </row>
    <row r="98" ht="15.15" spans="1:6">
      <c r="A98" s="305" t="s">
        <v>1851</v>
      </c>
      <c r="B98" s="310" t="s">
        <v>1874</v>
      </c>
      <c r="C98" s="397">
        <v>0.1</v>
      </c>
      <c r="D98" s="397">
        <v>0.1</v>
      </c>
      <c r="E98" s="397">
        <v>0.097</v>
      </c>
      <c r="F98" s="402"/>
    </row>
    <row r="99" ht="15.15" spans="1:6">
      <c r="A99" s="305" t="s">
        <v>1851</v>
      </c>
      <c r="B99" s="310" t="s">
        <v>1875</v>
      </c>
      <c r="C99" s="397">
        <v>0.1</v>
      </c>
      <c r="D99" s="397">
        <v>0.1</v>
      </c>
      <c r="E99" s="403"/>
      <c r="F99" s="402"/>
    </row>
    <row r="100" ht="15.15" spans="1:6">
      <c r="A100" s="305" t="s">
        <v>1851</v>
      </c>
      <c r="B100" s="310" t="s">
        <v>1876</v>
      </c>
      <c r="C100" s="397">
        <v>0.09</v>
      </c>
      <c r="D100" s="397">
        <v>0.089</v>
      </c>
      <c r="E100" s="403"/>
      <c r="F100" s="402"/>
    </row>
    <row r="101" ht="15.15" spans="1:6">
      <c r="A101" s="305" t="s">
        <v>1851</v>
      </c>
      <c r="B101" s="310" t="s">
        <v>1877</v>
      </c>
      <c r="C101" s="397">
        <v>0.098</v>
      </c>
      <c r="D101" s="397">
        <v>0.097</v>
      </c>
      <c r="E101" s="403"/>
      <c r="F101" s="402"/>
    </row>
    <row r="102" ht="24.75" spans="1:6">
      <c r="A102" s="305" t="s">
        <v>1851</v>
      </c>
      <c r="B102" s="310" t="s">
        <v>1878</v>
      </c>
      <c r="C102" s="403"/>
      <c r="D102" s="403"/>
      <c r="E102" s="403"/>
      <c r="F102" s="398">
        <v>0.05</v>
      </c>
    </row>
    <row r="103" ht="24.75" spans="1:6">
      <c r="A103" s="305" t="s">
        <v>1851</v>
      </c>
      <c r="B103" s="310" t="s">
        <v>1879</v>
      </c>
      <c r="C103" s="403"/>
      <c r="D103" s="403"/>
      <c r="E103" s="403"/>
      <c r="F103" s="398">
        <v>0.05</v>
      </c>
    </row>
    <row r="104" ht="15.15" spans="1:6">
      <c r="A104" s="305" t="s">
        <v>1851</v>
      </c>
      <c r="B104" s="310" t="s">
        <v>1880</v>
      </c>
      <c r="C104" s="403"/>
      <c r="D104" s="403"/>
      <c r="E104" s="403"/>
      <c r="F104" s="398">
        <v>0.05</v>
      </c>
    </row>
    <row r="105" ht="24.75" spans="1:6">
      <c r="A105" s="305" t="s">
        <v>1851</v>
      </c>
      <c r="B105" s="310" t="s">
        <v>1881</v>
      </c>
      <c r="C105" s="403"/>
      <c r="D105" s="403"/>
      <c r="E105" s="403"/>
      <c r="F105" s="398">
        <v>0.05</v>
      </c>
    </row>
    <row r="106" ht="24.7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5.15" spans="1:6">
      <c r="A110" s="305" t="s">
        <v>353</v>
      </c>
      <c r="B110" s="306" t="s">
        <v>1886</v>
      </c>
      <c r="C110" s="395">
        <v>0.129</v>
      </c>
      <c r="D110" s="395">
        <v>0.129</v>
      </c>
      <c r="E110" s="395">
        <v>0.126</v>
      </c>
      <c r="F110" s="396">
        <v>0.13</v>
      </c>
    </row>
    <row r="111" ht="15.15" spans="1:6">
      <c r="A111" s="305" t="s">
        <v>353</v>
      </c>
      <c r="B111" s="310" t="s">
        <v>1887</v>
      </c>
      <c r="C111" s="397">
        <v>0.11</v>
      </c>
      <c r="D111" s="397">
        <v>0.11</v>
      </c>
      <c r="E111" s="397">
        <v>0.099</v>
      </c>
      <c r="F111" s="398">
        <v>0.128</v>
      </c>
    </row>
    <row r="112" ht="15.15" spans="1:6">
      <c r="A112" s="305" t="s">
        <v>353</v>
      </c>
      <c r="B112" s="310" t="s">
        <v>1888</v>
      </c>
      <c r="C112" s="397">
        <v>0.125</v>
      </c>
      <c r="D112" s="397">
        <v>0.125</v>
      </c>
      <c r="E112" s="397">
        <v>0.12</v>
      </c>
      <c r="F112" s="398">
        <v>0.125</v>
      </c>
    </row>
    <row r="113" ht="15.15" spans="1:6">
      <c r="A113" s="305" t="s">
        <v>353</v>
      </c>
      <c r="B113" s="310" t="s">
        <v>1889</v>
      </c>
      <c r="C113" s="397">
        <v>0.13</v>
      </c>
      <c r="D113" s="397">
        <v>0.13</v>
      </c>
      <c r="E113" s="397">
        <v>0.13</v>
      </c>
      <c r="F113" s="398">
        <v>0.13</v>
      </c>
    </row>
    <row r="114" ht="15.15" spans="1:6">
      <c r="A114" s="305" t="s">
        <v>353</v>
      </c>
      <c r="B114" s="310" t="s">
        <v>1890</v>
      </c>
      <c r="C114" s="397">
        <v>0.123</v>
      </c>
      <c r="D114" s="397">
        <v>0.123</v>
      </c>
      <c r="E114" s="397">
        <v>0.12</v>
      </c>
      <c r="F114" s="398">
        <v>0.13</v>
      </c>
    </row>
    <row r="115" ht="15.15" spans="1:6">
      <c r="A115" s="305" t="s">
        <v>353</v>
      </c>
      <c r="B115" s="310" t="s">
        <v>1891</v>
      </c>
      <c r="C115" s="397">
        <v>0.125</v>
      </c>
      <c r="D115" s="397">
        <v>0.125</v>
      </c>
      <c r="E115" s="397">
        <v>0.117</v>
      </c>
      <c r="F115" s="398">
        <v>0.13</v>
      </c>
    </row>
    <row r="116" ht="15.15" spans="1:6">
      <c r="A116" s="305" t="s">
        <v>353</v>
      </c>
      <c r="B116" s="310" t="s">
        <v>1892</v>
      </c>
      <c r="C116" s="397">
        <v>0.117</v>
      </c>
      <c r="D116" s="397">
        <v>0.117</v>
      </c>
      <c r="E116" s="397">
        <v>0.088</v>
      </c>
      <c r="F116" s="398">
        <v>0.13</v>
      </c>
    </row>
    <row r="117" ht="15.15" spans="1:6">
      <c r="A117" s="305" t="s">
        <v>353</v>
      </c>
      <c r="B117" s="310" t="s">
        <v>1893</v>
      </c>
      <c r="C117" s="397">
        <v>0.13</v>
      </c>
      <c r="D117" s="397">
        <v>0.13</v>
      </c>
      <c r="E117" s="397">
        <v>0.129</v>
      </c>
      <c r="F117" s="398">
        <v>0.13</v>
      </c>
    </row>
    <row r="118" ht="15.15" spans="1:6">
      <c r="A118" s="305" t="s">
        <v>353</v>
      </c>
      <c r="B118" s="310" t="s">
        <v>1894</v>
      </c>
      <c r="C118" s="397">
        <v>0.123</v>
      </c>
      <c r="D118" s="397">
        <v>0.123</v>
      </c>
      <c r="E118" s="397">
        <v>0.116</v>
      </c>
      <c r="F118" s="398">
        <v>0.13</v>
      </c>
    </row>
    <row r="119" ht="15.15" spans="1:6">
      <c r="A119" s="305" t="s">
        <v>353</v>
      </c>
      <c r="B119" s="310" t="s">
        <v>1895</v>
      </c>
      <c r="C119" s="397">
        <v>0.127</v>
      </c>
      <c r="D119" s="397">
        <v>0.127</v>
      </c>
      <c r="E119" s="397">
        <v>0.124</v>
      </c>
      <c r="F119" s="398">
        <v>0.13</v>
      </c>
    </row>
    <row r="120" ht="15.15" spans="1:6">
      <c r="A120" s="305" t="s">
        <v>353</v>
      </c>
      <c r="B120" s="310" t="s">
        <v>1896</v>
      </c>
      <c r="C120" s="397">
        <v>0.125</v>
      </c>
      <c r="D120" s="397">
        <v>0.125</v>
      </c>
      <c r="E120" s="397">
        <v>0.122</v>
      </c>
      <c r="F120" s="398">
        <v>0.13</v>
      </c>
    </row>
    <row r="121" ht="15.15" spans="1:6">
      <c r="A121" s="305" t="s">
        <v>353</v>
      </c>
      <c r="B121" s="310" t="s">
        <v>1897</v>
      </c>
      <c r="C121" s="397">
        <v>0.13</v>
      </c>
      <c r="D121" s="397">
        <v>0.13</v>
      </c>
      <c r="E121" s="397">
        <v>0.13</v>
      </c>
      <c r="F121" s="398">
        <v>0.13</v>
      </c>
    </row>
    <row r="122" ht="15.15" spans="1:6">
      <c r="A122" s="305" t="s">
        <v>353</v>
      </c>
      <c r="B122" s="310" t="s">
        <v>1898</v>
      </c>
      <c r="C122" s="397">
        <v>0.13</v>
      </c>
      <c r="D122" s="397">
        <v>0.13</v>
      </c>
      <c r="E122" s="397">
        <v>0.125</v>
      </c>
      <c r="F122" s="398">
        <v>0.13</v>
      </c>
    </row>
    <row r="123" ht="15.15" spans="1:6">
      <c r="A123" s="305" t="s">
        <v>353</v>
      </c>
      <c r="B123" s="310" t="s">
        <v>1899</v>
      </c>
      <c r="C123" s="397">
        <v>0.129</v>
      </c>
      <c r="D123" s="397">
        <v>0.129</v>
      </c>
      <c r="E123" s="397">
        <v>0.123</v>
      </c>
      <c r="F123" s="398">
        <v>0.13</v>
      </c>
    </row>
    <row r="124" ht="15.15" spans="1:6">
      <c r="A124" s="305" t="s">
        <v>353</v>
      </c>
      <c r="B124" s="310" t="s">
        <v>1900</v>
      </c>
      <c r="C124" s="397">
        <v>0.102</v>
      </c>
      <c r="D124" s="397">
        <v>0.101</v>
      </c>
      <c r="E124" s="397">
        <v>0.08</v>
      </c>
      <c r="F124" s="402"/>
    </row>
    <row r="125" ht="15.15" spans="1:6">
      <c r="A125" s="305" t="s">
        <v>353</v>
      </c>
      <c r="B125" s="310" t="s">
        <v>1901</v>
      </c>
      <c r="C125" s="397">
        <v>0.13</v>
      </c>
      <c r="D125" s="397">
        <v>0.13</v>
      </c>
      <c r="E125" s="397">
        <v>0.129</v>
      </c>
      <c r="F125" s="402"/>
    </row>
    <row r="126" ht="15.15" spans="1:6">
      <c r="A126" s="305" t="s">
        <v>353</v>
      </c>
      <c r="B126" s="310" t="s">
        <v>1902</v>
      </c>
      <c r="C126" s="397">
        <v>0.13</v>
      </c>
      <c r="D126" s="397">
        <v>0.13</v>
      </c>
      <c r="E126" s="397">
        <v>0.126</v>
      </c>
      <c r="F126" s="402"/>
    </row>
    <row r="127" ht="15.15" spans="1:6">
      <c r="A127" s="305" t="s">
        <v>353</v>
      </c>
      <c r="B127" s="310" t="s">
        <v>1903</v>
      </c>
      <c r="C127" s="397">
        <v>0.125</v>
      </c>
      <c r="D127" s="397">
        <v>0.125</v>
      </c>
      <c r="E127" s="397">
        <v>0.121</v>
      </c>
      <c r="F127" s="402"/>
    </row>
    <row r="128" ht="15.15" spans="1:6">
      <c r="A128" s="305" t="s">
        <v>353</v>
      </c>
      <c r="B128" s="310" t="s">
        <v>1904</v>
      </c>
      <c r="C128" s="397">
        <v>0.12</v>
      </c>
      <c r="D128" s="397">
        <v>0.12</v>
      </c>
      <c r="E128" s="397">
        <v>0.105</v>
      </c>
      <c r="F128" s="402"/>
    </row>
    <row r="129" ht="15.15" spans="1:6">
      <c r="A129" s="305" t="s">
        <v>353</v>
      </c>
      <c r="B129" s="310" t="s">
        <v>1905</v>
      </c>
      <c r="C129" s="397">
        <v>0.13</v>
      </c>
      <c r="D129" s="397">
        <v>0.13</v>
      </c>
      <c r="E129" s="397">
        <v>0.126</v>
      </c>
      <c r="F129" s="402"/>
    </row>
    <row r="130" ht="15.15" spans="1:6">
      <c r="A130" s="305" t="s">
        <v>353</v>
      </c>
      <c r="B130" s="310" t="s">
        <v>1906</v>
      </c>
      <c r="C130" s="397">
        <v>0.125</v>
      </c>
      <c r="D130" s="397">
        <v>0.125</v>
      </c>
      <c r="E130" s="397">
        <v>0.122</v>
      </c>
      <c r="F130" s="402"/>
    </row>
    <row r="131" ht="15.15" spans="1:6">
      <c r="A131" s="305" t="s">
        <v>353</v>
      </c>
      <c r="B131" s="310" t="s">
        <v>1907</v>
      </c>
      <c r="C131" s="397">
        <v>0.127</v>
      </c>
      <c r="D131" s="397">
        <v>0.126</v>
      </c>
      <c r="E131" s="397">
        <v>0.123</v>
      </c>
      <c r="F131" s="402"/>
    </row>
    <row r="132" ht="15.15" spans="1:6">
      <c r="A132" s="305" t="s">
        <v>353</v>
      </c>
      <c r="B132" s="310" t="s">
        <v>1908</v>
      </c>
      <c r="C132" s="397">
        <v>0.091</v>
      </c>
      <c r="D132" s="397">
        <v>0.121</v>
      </c>
      <c r="E132" s="397">
        <v>0.099</v>
      </c>
      <c r="F132" s="402"/>
    </row>
    <row r="133" ht="15.15" spans="1:6">
      <c r="A133" s="305" t="s">
        <v>353</v>
      </c>
      <c r="B133" s="310" t="s">
        <v>1909</v>
      </c>
      <c r="C133" s="397">
        <v>0.13</v>
      </c>
      <c r="D133" s="397">
        <v>0.13</v>
      </c>
      <c r="E133" s="397">
        <v>0.129</v>
      </c>
      <c r="F133" s="402"/>
    </row>
    <row r="134" ht="15.15" spans="1:6">
      <c r="A134" s="305" t="s">
        <v>353</v>
      </c>
      <c r="B134" s="310" t="s">
        <v>1910</v>
      </c>
      <c r="C134" s="397">
        <v>0.068</v>
      </c>
      <c r="D134" s="397">
        <v>0.065</v>
      </c>
      <c r="E134" s="397">
        <v>0.065</v>
      </c>
      <c r="F134" s="398">
        <v>0.13</v>
      </c>
    </row>
    <row r="135" ht="15.15" spans="1:6">
      <c r="A135" s="305" t="s">
        <v>353</v>
      </c>
      <c r="B135" s="310" t="s">
        <v>1911</v>
      </c>
      <c r="C135" s="397">
        <v>0.123</v>
      </c>
      <c r="D135" s="397">
        <v>0.123</v>
      </c>
      <c r="E135" s="397">
        <v>0.11</v>
      </c>
      <c r="F135" s="402"/>
    </row>
    <row r="136" ht="15.15" spans="1:6">
      <c r="A136" s="305" t="s">
        <v>353</v>
      </c>
      <c r="B136" s="310" t="s">
        <v>1912</v>
      </c>
      <c r="C136" s="397">
        <v>0.13</v>
      </c>
      <c r="D136" s="397">
        <v>0.13</v>
      </c>
      <c r="E136" s="397">
        <v>0.125</v>
      </c>
      <c r="F136" s="402"/>
    </row>
    <row r="137" ht="15.15" spans="1:6">
      <c r="A137" s="305" t="s">
        <v>353</v>
      </c>
      <c r="B137" s="310" t="s">
        <v>1913</v>
      </c>
      <c r="C137" s="397">
        <v>0.121</v>
      </c>
      <c r="D137" s="397">
        <v>0.122</v>
      </c>
      <c r="E137" s="397">
        <v>0.115</v>
      </c>
      <c r="F137" s="402"/>
    </row>
    <row r="138" ht="15.15" spans="1:6">
      <c r="A138" s="305" t="s">
        <v>353</v>
      </c>
      <c r="B138" s="310" t="s">
        <v>1914</v>
      </c>
      <c r="C138" s="397">
        <v>0.105</v>
      </c>
      <c r="D138" s="397">
        <v>0.125</v>
      </c>
      <c r="E138" s="397">
        <v>0.112</v>
      </c>
      <c r="F138" s="402"/>
    </row>
    <row r="139" ht="15.15" spans="1:6">
      <c r="A139" s="305" t="s">
        <v>353</v>
      </c>
      <c r="B139" s="310" t="s">
        <v>1915</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1916</v>
      </c>
      <c r="C141" s="397">
        <v>0.125</v>
      </c>
      <c r="D141" s="397">
        <v>0.125</v>
      </c>
      <c r="E141" s="397">
        <v>0.117</v>
      </c>
      <c r="F141" s="402"/>
    </row>
    <row r="142" ht="15.15" spans="1:6">
      <c r="A142" s="305" t="s">
        <v>353</v>
      </c>
      <c r="B142" s="310" t="s">
        <v>1917</v>
      </c>
      <c r="C142" s="397">
        <v>0.125</v>
      </c>
      <c r="D142" s="397">
        <v>0.125</v>
      </c>
      <c r="E142" s="397">
        <v>0.115</v>
      </c>
      <c r="F142" s="402"/>
    </row>
    <row r="143" ht="15.15" spans="1:6">
      <c r="A143" s="305" t="s">
        <v>353</v>
      </c>
      <c r="B143" s="310" t="s">
        <v>1918</v>
      </c>
      <c r="C143" s="397">
        <v>0.121</v>
      </c>
      <c r="D143" s="397">
        <v>0.121</v>
      </c>
      <c r="E143" s="397">
        <v>0.108</v>
      </c>
      <c r="F143" s="402"/>
    </row>
    <row r="144" ht="15.15" spans="1:6">
      <c r="A144" s="305" t="s">
        <v>353</v>
      </c>
      <c r="B144" s="405" t="s">
        <v>1919</v>
      </c>
      <c r="C144" s="406">
        <v>0.126</v>
      </c>
      <c r="D144" s="406">
        <v>0.126</v>
      </c>
      <c r="E144" s="406">
        <v>0.121</v>
      </c>
      <c r="F144" s="402"/>
    </row>
    <row r="145" ht="15.15" spans="1:6">
      <c r="A145" s="323" t="s">
        <v>353</v>
      </c>
      <c r="B145" s="407" t="s">
        <v>1920</v>
      </c>
      <c r="C145" s="408"/>
      <c r="D145" s="408"/>
      <c r="E145" s="408"/>
      <c r="F145" s="409">
        <v>0.05</v>
      </c>
    </row>
    <row r="146" ht="24.75" spans="1:6">
      <c r="A146" s="410" t="s">
        <v>353</v>
      </c>
      <c r="B146" s="314" t="s">
        <v>1921</v>
      </c>
      <c r="C146" s="403"/>
      <c r="D146" s="403"/>
      <c r="E146" s="403"/>
      <c r="F146" s="411">
        <v>0.05</v>
      </c>
    </row>
    <row r="147" ht="24.75" spans="1:6">
      <c r="A147" s="305" t="s">
        <v>353</v>
      </c>
      <c r="B147" s="310" t="s">
        <v>1922</v>
      </c>
      <c r="C147" s="403"/>
      <c r="D147" s="403"/>
      <c r="E147" s="403"/>
      <c r="F147" s="398">
        <v>0.05</v>
      </c>
    </row>
    <row r="148" ht="24.75" spans="1:6">
      <c r="A148" s="305" t="s">
        <v>353</v>
      </c>
      <c r="B148" s="310" t="s">
        <v>1923</v>
      </c>
      <c r="C148" s="403"/>
      <c r="D148" s="403"/>
      <c r="E148" s="403"/>
      <c r="F148" s="398">
        <v>0.05</v>
      </c>
    </row>
    <row r="149" ht="24.75" spans="1:6">
      <c r="A149" s="305" t="s">
        <v>353</v>
      </c>
      <c r="B149" s="310" t="s">
        <v>1924</v>
      </c>
      <c r="C149" s="403"/>
      <c r="D149" s="403"/>
      <c r="E149" s="403"/>
      <c r="F149" s="398">
        <v>0.05</v>
      </c>
    </row>
    <row r="150" ht="24.75" spans="1:6">
      <c r="A150" s="305" t="s">
        <v>353</v>
      </c>
      <c r="B150" s="310" t="s">
        <v>1925</v>
      </c>
      <c r="C150" s="403"/>
      <c r="D150" s="403"/>
      <c r="E150" s="403"/>
      <c r="F150" s="398">
        <v>0.05</v>
      </c>
    </row>
    <row r="151" ht="24.75" spans="1:6">
      <c r="A151" s="305" t="s">
        <v>353</v>
      </c>
      <c r="B151" s="310" t="s">
        <v>1926</v>
      </c>
      <c r="C151" s="403"/>
      <c r="D151" s="403"/>
      <c r="E151" s="403"/>
      <c r="F151" s="398">
        <v>0.05</v>
      </c>
    </row>
    <row r="152" ht="24.75" spans="1:6">
      <c r="A152" s="305" t="s">
        <v>353</v>
      </c>
      <c r="B152" s="310" t="s">
        <v>1927</v>
      </c>
      <c r="C152" s="403"/>
      <c r="D152" s="403"/>
      <c r="E152" s="403"/>
      <c r="F152" s="398">
        <v>0.05</v>
      </c>
    </row>
    <row r="153" ht="15.15" spans="1:6">
      <c r="A153" s="305" t="s">
        <v>353</v>
      </c>
      <c r="B153" s="310" t="s">
        <v>1928</v>
      </c>
      <c r="C153" s="403"/>
      <c r="D153" s="403"/>
      <c r="E153" s="403"/>
      <c r="F153" s="398">
        <v>0.05</v>
      </c>
    </row>
    <row r="154" ht="15.15" spans="1:6">
      <c r="A154" s="305" t="s">
        <v>353</v>
      </c>
      <c r="B154" s="310" t="s">
        <v>1929</v>
      </c>
      <c r="C154" s="403"/>
      <c r="D154" s="403"/>
      <c r="E154" s="403"/>
      <c r="F154" s="398">
        <v>0.05</v>
      </c>
    </row>
    <row r="155" ht="24.75" spans="1:6">
      <c r="A155" s="305" t="s">
        <v>353</v>
      </c>
      <c r="B155" s="310" t="s">
        <v>1930</v>
      </c>
      <c r="C155" s="403"/>
      <c r="D155" s="403"/>
      <c r="E155" s="403"/>
      <c r="F155" s="398">
        <v>0.05</v>
      </c>
    </row>
    <row r="156" ht="24.75" spans="1:6">
      <c r="A156" s="305" t="s">
        <v>353</v>
      </c>
      <c r="B156" s="310" t="s">
        <v>1931</v>
      </c>
      <c r="C156" s="403"/>
      <c r="D156" s="403"/>
      <c r="E156" s="403"/>
      <c r="F156" s="398">
        <v>0.05</v>
      </c>
    </row>
    <row r="157" ht="24.75" spans="1:6">
      <c r="A157" s="323" t="s">
        <v>353</v>
      </c>
      <c r="B157" s="316" t="s">
        <v>1932</v>
      </c>
      <c r="C157" s="400"/>
      <c r="D157" s="400"/>
      <c r="E157" s="400"/>
      <c r="F157" s="404">
        <v>0.05</v>
      </c>
    </row>
    <row r="158" ht="15.15" spans="1:6">
      <c r="A158" s="305" t="s">
        <v>1933</v>
      </c>
      <c r="B158" s="306" t="s">
        <v>1934</v>
      </c>
      <c r="C158" s="395">
        <v>0.13</v>
      </c>
      <c r="D158" s="395">
        <v>0.13</v>
      </c>
      <c r="E158" s="395">
        <v>0.13</v>
      </c>
      <c r="F158" s="396">
        <v>0.13</v>
      </c>
    </row>
    <row r="159" ht="15.15" spans="1:6">
      <c r="A159" s="305" t="s">
        <v>1933</v>
      </c>
      <c r="B159" s="310" t="s">
        <v>1935</v>
      </c>
      <c r="C159" s="397">
        <v>0.13</v>
      </c>
      <c r="D159" s="397">
        <v>0.13</v>
      </c>
      <c r="E159" s="397">
        <v>0.13</v>
      </c>
      <c r="F159" s="398">
        <v>0.13</v>
      </c>
    </row>
    <row r="160" ht="15.15" spans="1:6">
      <c r="A160" s="305" t="s">
        <v>1933</v>
      </c>
      <c r="B160" s="310" t="s">
        <v>1936</v>
      </c>
      <c r="C160" s="397">
        <v>0.13</v>
      </c>
      <c r="D160" s="397">
        <v>0.13</v>
      </c>
      <c r="E160" s="397">
        <v>0.129</v>
      </c>
      <c r="F160" s="398">
        <v>0.13</v>
      </c>
    </row>
    <row r="161" ht="15.15" spans="1:6">
      <c r="A161" s="305" t="s">
        <v>1933</v>
      </c>
      <c r="B161" s="310" t="s">
        <v>1937</v>
      </c>
      <c r="C161" s="397">
        <v>0.128</v>
      </c>
      <c r="D161" s="397">
        <v>0.128</v>
      </c>
      <c r="E161" s="397">
        <v>0.125</v>
      </c>
      <c r="F161" s="398">
        <v>0.13</v>
      </c>
    </row>
    <row r="162" ht="15.15" spans="1:6">
      <c r="A162" s="305" t="s">
        <v>1933</v>
      </c>
      <c r="B162" s="310" t="s">
        <v>1938</v>
      </c>
      <c r="C162" s="397">
        <v>0.122</v>
      </c>
      <c r="D162" s="397">
        <v>0.122</v>
      </c>
      <c r="E162" s="397">
        <v>0.126</v>
      </c>
      <c r="F162" s="398">
        <v>0.122</v>
      </c>
    </row>
    <row r="163" ht="15.15" spans="1:6">
      <c r="A163" s="305" t="s">
        <v>1933</v>
      </c>
      <c r="B163" s="310" t="s">
        <v>1939</v>
      </c>
      <c r="C163" s="397">
        <v>0.13</v>
      </c>
      <c r="D163" s="397">
        <v>0.13</v>
      </c>
      <c r="E163" s="397">
        <v>0.125</v>
      </c>
      <c r="F163" s="398">
        <v>0.13</v>
      </c>
    </row>
    <row r="164" ht="15.15" spans="1:6">
      <c r="A164" s="305" t="s">
        <v>1933</v>
      </c>
      <c r="B164" s="310" t="s">
        <v>1940</v>
      </c>
      <c r="C164" s="397">
        <v>0.13</v>
      </c>
      <c r="D164" s="397">
        <v>0.13</v>
      </c>
      <c r="E164" s="397">
        <v>0.13</v>
      </c>
      <c r="F164" s="398">
        <v>0.13</v>
      </c>
    </row>
    <row r="165" ht="15.15" spans="1:6">
      <c r="A165" s="305" t="s">
        <v>1933</v>
      </c>
      <c r="B165" s="310" t="s">
        <v>1941</v>
      </c>
      <c r="C165" s="397">
        <v>0.13</v>
      </c>
      <c r="D165" s="397">
        <v>0.13</v>
      </c>
      <c r="E165" s="397">
        <v>0.124</v>
      </c>
      <c r="F165" s="398">
        <v>0.13</v>
      </c>
    </row>
    <row r="166" ht="15.15" spans="1:6">
      <c r="A166" s="305" t="s">
        <v>1933</v>
      </c>
      <c r="B166" s="310" t="s">
        <v>1942</v>
      </c>
      <c r="C166" s="397">
        <v>0.13</v>
      </c>
      <c r="D166" s="397">
        <v>0.13</v>
      </c>
      <c r="E166" s="397">
        <v>0.13</v>
      </c>
      <c r="F166" s="398">
        <v>0.13</v>
      </c>
    </row>
    <row r="167" ht="15.15" spans="1:6">
      <c r="A167" s="305" t="s">
        <v>1933</v>
      </c>
      <c r="B167" s="310" t="s">
        <v>1943</v>
      </c>
      <c r="C167" s="397">
        <v>0.125</v>
      </c>
      <c r="D167" s="397">
        <v>0.125</v>
      </c>
      <c r="E167" s="397">
        <v>0.121</v>
      </c>
      <c r="F167" s="402"/>
    </row>
    <row r="168" ht="15.15" spans="1:6">
      <c r="A168" s="305" t="s">
        <v>1933</v>
      </c>
      <c r="B168" s="310" t="s">
        <v>1944</v>
      </c>
      <c r="C168" s="397">
        <v>0.13</v>
      </c>
      <c r="D168" s="397">
        <v>0.13</v>
      </c>
      <c r="E168" s="397">
        <v>0.126</v>
      </c>
      <c r="F168" s="402"/>
    </row>
    <row r="169" ht="15.15" spans="1:6">
      <c r="A169" s="305" t="s">
        <v>1933</v>
      </c>
      <c r="B169" s="310" t="s">
        <v>1945</v>
      </c>
      <c r="C169" s="397">
        <v>0.128</v>
      </c>
      <c r="D169" s="397">
        <v>0.129</v>
      </c>
      <c r="E169" s="397">
        <v>0.13</v>
      </c>
      <c r="F169" s="402"/>
    </row>
    <row r="170" ht="15.15" spans="1:6">
      <c r="A170" s="305" t="s">
        <v>1933</v>
      </c>
      <c r="B170" s="310" t="s">
        <v>1946</v>
      </c>
      <c r="C170" s="397">
        <v>0.141</v>
      </c>
      <c r="D170" s="397">
        <v>0.13</v>
      </c>
      <c r="E170" s="397">
        <v>0.125</v>
      </c>
      <c r="F170" s="402"/>
    </row>
    <row r="171" ht="15.15" spans="1:6">
      <c r="A171" s="305" t="s">
        <v>1933</v>
      </c>
      <c r="B171" s="310" t="s">
        <v>1947</v>
      </c>
      <c r="C171" s="397">
        <v>0.127</v>
      </c>
      <c r="D171" s="397">
        <v>0.126</v>
      </c>
      <c r="E171" s="397">
        <v>0.126</v>
      </c>
      <c r="F171" s="398">
        <v>0.118</v>
      </c>
    </row>
    <row r="172" ht="15.15" spans="1:6">
      <c r="A172" s="305" t="s">
        <v>1933</v>
      </c>
      <c r="B172" s="310" t="s">
        <v>1948</v>
      </c>
      <c r="C172" s="397">
        <v>0.13</v>
      </c>
      <c r="D172" s="397">
        <v>0.13</v>
      </c>
      <c r="E172" s="397">
        <v>0.13</v>
      </c>
      <c r="F172" s="402"/>
    </row>
    <row r="173" ht="15.15" spans="1:6">
      <c r="A173" s="305" t="s">
        <v>1933</v>
      </c>
      <c r="B173" s="310" t="s">
        <v>1949</v>
      </c>
      <c r="C173" s="397">
        <v>0.13</v>
      </c>
      <c r="D173" s="397">
        <v>0.13</v>
      </c>
      <c r="E173" s="397">
        <v>0.13</v>
      </c>
      <c r="F173" s="402"/>
    </row>
    <row r="174" ht="15.15" spans="1:6">
      <c r="A174" s="305" t="s">
        <v>1933</v>
      </c>
      <c r="B174" s="310" t="s">
        <v>1950</v>
      </c>
      <c r="C174" s="397">
        <v>0.13</v>
      </c>
      <c r="D174" s="397">
        <v>0.13</v>
      </c>
      <c r="E174" s="397">
        <v>0.13</v>
      </c>
      <c r="F174" s="398">
        <v>0.13</v>
      </c>
    </row>
    <row r="175" ht="15.15" spans="1:6">
      <c r="A175" s="305" t="s">
        <v>1933</v>
      </c>
      <c r="B175" s="310" t="s">
        <v>1951</v>
      </c>
      <c r="C175" s="397">
        <v>0.13</v>
      </c>
      <c r="D175" s="397">
        <v>0.13</v>
      </c>
      <c r="E175" s="397">
        <v>0.13</v>
      </c>
      <c r="F175" s="398">
        <v>0.13</v>
      </c>
    </row>
    <row r="176" ht="15.15" spans="1:6">
      <c r="A176" s="305" t="s">
        <v>1933</v>
      </c>
      <c r="B176" s="310" t="s">
        <v>1952</v>
      </c>
      <c r="C176" s="397">
        <v>0.13</v>
      </c>
      <c r="D176" s="397">
        <v>0.13</v>
      </c>
      <c r="E176" s="397">
        <v>0.13</v>
      </c>
      <c r="F176" s="398">
        <v>0.13</v>
      </c>
    </row>
    <row r="177" ht="15.15" spans="1:6">
      <c r="A177" s="305" t="s">
        <v>1933</v>
      </c>
      <c r="B177" s="310" t="s">
        <v>1953</v>
      </c>
      <c r="C177" s="397">
        <v>0.13</v>
      </c>
      <c r="D177" s="397">
        <v>0.13</v>
      </c>
      <c r="E177" s="397">
        <v>0.13</v>
      </c>
      <c r="F177" s="398">
        <v>0.13</v>
      </c>
    </row>
    <row r="178" ht="15.15" spans="1:6">
      <c r="A178" s="305" t="s">
        <v>1933</v>
      </c>
      <c r="B178" s="310" t="s">
        <v>1954</v>
      </c>
      <c r="C178" s="397">
        <v>0.13</v>
      </c>
      <c r="D178" s="397">
        <v>0.13</v>
      </c>
      <c r="E178" s="397">
        <v>0.13</v>
      </c>
      <c r="F178" s="398">
        <v>0.127</v>
      </c>
    </row>
    <row r="179" ht="15.15" spans="1:6">
      <c r="A179" s="305" t="s">
        <v>1933</v>
      </c>
      <c r="B179" s="310" t="s">
        <v>1955</v>
      </c>
      <c r="C179" s="397">
        <v>0.13</v>
      </c>
      <c r="D179" s="397">
        <v>0.13</v>
      </c>
      <c r="E179" s="397">
        <v>0.13</v>
      </c>
      <c r="F179" s="402"/>
    </row>
    <row r="180" ht="15.15" spans="1:6">
      <c r="A180" s="305" t="s">
        <v>1933</v>
      </c>
      <c r="B180" s="310" t="s">
        <v>1956</v>
      </c>
      <c r="C180" s="397">
        <v>0.13</v>
      </c>
      <c r="D180" s="397">
        <v>0.13</v>
      </c>
      <c r="E180" s="397">
        <v>0.125</v>
      </c>
      <c r="F180" s="398">
        <v>0.13</v>
      </c>
    </row>
    <row r="181" ht="15.15" spans="1:6">
      <c r="A181" s="305" t="s">
        <v>1933</v>
      </c>
      <c r="B181" s="310" t="s">
        <v>1957</v>
      </c>
      <c r="C181" s="397">
        <v>0.122</v>
      </c>
      <c r="D181" s="397">
        <v>0.123</v>
      </c>
      <c r="E181" s="397">
        <v>0.126</v>
      </c>
      <c r="F181" s="398">
        <v>0.121</v>
      </c>
    </row>
    <row r="182" ht="15.15" spans="1:6">
      <c r="A182" s="305" t="s">
        <v>1933</v>
      </c>
      <c r="B182" s="310" t="s">
        <v>1958</v>
      </c>
      <c r="C182" s="397">
        <v>0.125</v>
      </c>
      <c r="D182" s="397">
        <v>0.125</v>
      </c>
      <c r="E182" s="397">
        <v>0.117</v>
      </c>
      <c r="F182" s="398">
        <v>0.13</v>
      </c>
    </row>
    <row r="183" ht="15.15" spans="1:6">
      <c r="A183" s="305" t="s">
        <v>1933</v>
      </c>
      <c r="B183" s="310" t="s">
        <v>1959</v>
      </c>
      <c r="C183" s="397">
        <v>0.127</v>
      </c>
      <c r="D183" s="397">
        <v>0.127</v>
      </c>
      <c r="E183" s="397">
        <v>0.128</v>
      </c>
      <c r="F183" s="402"/>
    </row>
    <row r="184" ht="15.15" spans="1:6">
      <c r="A184" s="305" t="s">
        <v>1933</v>
      </c>
      <c r="B184" s="310" t="s">
        <v>1960</v>
      </c>
      <c r="C184" s="397">
        <v>0.125</v>
      </c>
      <c r="D184" s="397">
        <v>0.125</v>
      </c>
      <c r="E184" s="397">
        <v>0.127</v>
      </c>
      <c r="F184" s="402"/>
    </row>
    <row r="185" ht="15.1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5.15" spans="1:6">
      <c r="A187" s="305" t="s">
        <v>1933</v>
      </c>
      <c r="B187" s="310" t="s">
        <v>1963</v>
      </c>
      <c r="C187" s="403"/>
      <c r="D187" s="403"/>
      <c r="E187" s="403"/>
      <c r="F187" s="398">
        <v>0.05</v>
      </c>
    </row>
    <row r="188" ht="24.7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5.1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5.15" spans="1:6">
      <c r="A204" s="305" t="s">
        <v>1933</v>
      </c>
      <c r="B204" s="310" t="s">
        <v>1980</v>
      </c>
      <c r="C204" s="403"/>
      <c r="D204" s="403"/>
      <c r="E204" s="403"/>
      <c r="F204" s="398">
        <v>0.05</v>
      </c>
    </row>
    <row r="205" ht="15.15" spans="1:6">
      <c r="A205" s="323" t="s">
        <v>1933</v>
      </c>
      <c r="B205" s="316" t="s">
        <v>1981</v>
      </c>
      <c r="C205" s="400"/>
      <c r="D205" s="400"/>
      <c r="E205" s="400"/>
      <c r="F205" s="404">
        <v>0.05</v>
      </c>
    </row>
    <row r="206" ht="15.15" spans="1:6">
      <c r="A206" s="305" t="s">
        <v>1982</v>
      </c>
      <c r="B206" s="306" t="s">
        <v>1983</v>
      </c>
      <c r="C206" s="395">
        <v>0.15</v>
      </c>
      <c r="D206" s="395">
        <v>0.15</v>
      </c>
      <c r="E206" s="395">
        <v>0.15</v>
      </c>
      <c r="F206" s="396">
        <v>0.15</v>
      </c>
    </row>
    <row r="207" ht="15.15" spans="1:6">
      <c r="A207" s="305" t="s">
        <v>1982</v>
      </c>
      <c r="B207" s="310" t="s">
        <v>1984</v>
      </c>
      <c r="C207" s="397">
        <v>0.15</v>
      </c>
      <c r="D207" s="397">
        <v>0.15</v>
      </c>
      <c r="E207" s="397">
        <v>0.15</v>
      </c>
      <c r="F207" s="398">
        <v>0.144</v>
      </c>
    </row>
    <row r="208" ht="15.15" spans="1:6">
      <c r="A208" s="305" t="s">
        <v>1982</v>
      </c>
      <c r="B208" s="310" t="s">
        <v>1985</v>
      </c>
      <c r="C208" s="397">
        <v>0.15</v>
      </c>
      <c r="D208" s="397">
        <v>0.15</v>
      </c>
      <c r="E208" s="397">
        <v>0.15</v>
      </c>
      <c r="F208" s="398">
        <v>0.15</v>
      </c>
    </row>
    <row r="209" ht="15.15" spans="1:6">
      <c r="A209" s="305" t="s">
        <v>1982</v>
      </c>
      <c r="B209" s="310" t="s">
        <v>1986</v>
      </c>
      <c r="C209" s="397">
        <v>0.137</v>
      </c>
      <c r="D209" s="397">
        <v>0.137</v>
      </c>
      <c r="E209" s="397">
        <v>0.14</v>
      </c>
      <c r="F209" s="398">
        <v>0.117</v>
      </c>
    </row>
    <row r="210" ht="15.15" spans="1:6">
      <c r="A210" s="305" t="s">
        <v>1982</v>
      </c>
      <c r="B210" s="310" t="s">
        <v>1987</v>
      </c>
      <c r="C210" s="397">
        <v>0.15</v>
      </c>
      <c r="D210" s="397">
        <v>0.15</v>
      </c>
      <c r="E210" s="397">
        <v>0.15</v>
      </c>
      <c r="F210" s="398">
        <v>0.138</v>
      </c>
    </row>
    <row r="211" ht="15.15" spans="1:6">
      <c r="A211" s="305" t="s">
        <v>1982</v>
      </c>
      <c r="B211" s="310" t="s">
        <v>1988</v>
      </c>
      <c r="C211" s="397">
        <v>0.137</v>
      </c>
      <c r="D211" s="397">
        <v>0.135</v>
      </c>
      <c r="E211" s="397">
        <v>0.136</v>
      </c>
      <c r="F211" s="398">
        <v>0.1</v>
      </c>
    </row>
    <row r="212" ht="15.15" spans="1:6">
      <c r="A212" s="305" t="s">
        <v>1982</v>
      </c>
      <c r="B212" s="310" t="s">
        <v>1989</v>
      </c>
      <c r="C212" s="397">
        <v>0.15</v>
      </c>
      <c r="D212" s="397">
        <v>0.15</v>
      </c>
      <c r="E212" s="397">
        <v>0.148</v>
      </c>
      <c r="F212" s="398">
        <v>0.136</v>
      </c>
    </row>
    <row r="213" ht="15.15" spans="1:6">
      <c r="A213" s="305" t="s">
        <v>1982</v>
      </c>
      <c r="B213" s="310" t="s">
        <v>1990</v>
      </c>
      <c r="C213" s="397">
        <v>0.15</v>
      </c>
      <c r="D213" s="397">
        <v>0.15</v>
      </c>
      <c r="E213" s="397">
        <v>0.15</v>
      </c>
      <c r="F213" s="398">
        <v>0.138</v>
      </c>
    </row>
    <row r="214" ht="15.15" spans="1:6">
      <c r="A214" s="305" t="s">
        <v>1982</v>
      </c>
      <c r="B214" s="310" t="s">
        <v>1991</v>
      </c>
      <c r="C214" s="397">
        <v>0.091</v>
      </c>
      <c r="D214" s="397">
        <v>0.09</v>
      </c>
      <c r="E214" s="397">
        <v>0.092</v>
      </c>
      <c r="F214" s="402"/>
    </row>
    <row r="215" ht="15.15" spans="1:6">
      <c r="A215" s="305" t="s">
        <v>1982</v>
      </c>
      <c r="B215" s="310" t="s">
        <v>1992</v>
      </c>
      <c r="C215" s="397">
        <v>0.15</v>
      </c>
      <c r="D215" s="397">
        <v>0.15</v>
      </c>
      <c r="E215" s="397">
        <v>0.15</v>
      </c>
      <c r="F215" s="398">
        <v>0.15</v>
      </c>
    </row>
    <row r="216" ht="15.15" spans="1:6">
      <c r="A216" s="305" t="s">
        <v>1982</v>
      </c>
      <c r="B216" s="310" t="s">
        <v>1993</v>
      </c>
      <c r="C216" s="397">
        <v>0.147</v>
      </c>
      <c r="D216" s="397">
        <v>0.147</v>
      </c>
      <c r="E216" s="397">
        <v>0.15</v>
      </c>
      <c r="F216" s="398">
        <v>0.14</v>
      </c>
    </row>
    <row r="217" ht="15.15" spans="1:6">
      <c r="A217" s="305" t="s">
        <v>1982</v>
      </c>
      <c r="B217" s="310" t="s">
        <v>1994</v>
      </c>
      <c r="C217" s="397">
        <v>0.15</v>
      </c>
      <c r="D217" s="397">
        <v>0.15</v>
      </c>
      <c r="E217" s="397">
        <v>0.15</v>
      </c>
      <c r="F217" s="398">
        <v>0.15</v>
      </c>
    </row>
    <row r="218" ht="15.15" spans="1:6">
      <c r="A218" s="305" t="s">
        <v>1982</v>
      </c>
      <c r="B218" s="310" t="s">
        <v>1995</v>
      </c>
      <c r="C218" s="397">
        <v>0.15</v>
      </c>
      <c r="D218" s="397">
        <v>0.15</v>
      </c>
      <c r="E218" s="397">
        <v>0.15</v>
      </c>
      <c r="F218" s="398">
        <v>0.15</v>
      </c>
    </row>
    <row r="219" ht="15.15" spans="1:6">
      <c r="A219" s="305" t="s">
        <v>1982</v>
      </c>
      <c r="B219" s="310" t="s">
        <v>1996</v>
      </c>
      <c r="C219" s="397">
        <v>0.15</v>
      </c>
      <c r="D219" s="397">
        <v>0.15</v>
      </c>
      <c r="E219" s="397">
        <v>0.15</v>
      </c>
      <c r="F219" s="398">
        <v>0.148</v>
      </c>
    </row>
    <row r="220" ht="15.15" spans="1:6">
      <c r="A220" s="305" t="s">
        <v>1982</v>
      </c>
      <c r="B220" s="310" t="s">
        <v>1997</v>
      </c>
      <c r="C220" s="397">
        <v>0.15</v>
      </c>
      <c r="D220" s="397">
        <v>0.15</v>
      </c>
      <c r="E220" s="397">
        <v>0.15</v>
      </c>
      <c r="F220" s="398">
        <v>0.15</v>
      </c>
    </row>
    <row r="221" ht="15.15" spans="1:6">
      <c r="A221" s="305" t="s">
        <v>1982</v>
      </c>
      <c r="B221" s="310" t="s">
        <v>1998</v>
      </c>
      <c r="C221" s="397"/>
      <c r="D221" s="403"/>
      <c r="E221" s="403"/>
      <c r="F221" s="398">
        <v>0.148</v>
      </c>
    </row>
    <row r="222" ht="15.15" spans="1:6">
      <c r="A222" s="305" t="s">
        <v>1982</v>
      </c>
      <c r="B222" s="310" t="s">
        <v>1999</v>
      </c>
      <c r="C222" s="397"/>
      <c r="D222" s="403"/>
      <c r="E222" s="403"/>
      <c r="F222" s="398">
        <v>0.1</v>
      </c>
    </row>
    <row r="223" ht="15.15" spans="1:6">
      <c r="A223" s="305" t="s">
        <v>1982</v>
      </c>
      <c r="B223" s="310" t="s">
        <v>2000</v>
      </c>
      <c r="C223" s="397"/>
      <c r="D223" s="403"/>
      <c r="E223" s="403"/>
      <c r="F223" s="398">
        <v>0.15</v>
      </c>
    </row>
    <row r="224" ht="15.15" spans="1:6">
      <c r="A224" s="305" t="s">
        <v>1982</v>
      </c>
      <c r="B224" s="310" t="s">
        <v>2001</v>
      </c>
      <c r="C224" s="397"/>
      <c r="D224" s="403"/>
      <c r="E224" s="403"/>
      <c r="F224" s="398">
        <v>0.15</v>
      </c>
    </row>
    <row r="225" ht="15.15" spans="1:6">
      <c r="A225" s="305" t="s">
        <v>1982</v>
      </c>
      <c r="B225" s="310" t="s">
        <v>2002</v>
      </c>
      <c r="C225" s="397">
        <v>0.15</v>
      </c>
      <c r="D225" s="397">
        <v>0.15</v>
      </c>
      <c r="E225" s="397">
        <v>0.15</v>
      </c>
      <c r="F225" s="398">
        <v>0.15</v>
      </c>
    </row>
    <row r="226" ht="15.15" spans="1:6">
      <c r="A226" s="305" t="s">
        <v>1982</v>
      </c>
      <c r="B226" s="310" t="s">
        <v>2003</v>
      </c>
      <c r="C226" s="397">
        <v>0.15</v>
      </c>
      <c r="D226" s="397">
        <v>0.15</v>
      </c>
      <c r="E226" s="397">
        <v>0.15</v>
      </c>
      <c r="F226" s="398">
        <v>0.148</v>
      </c>
    </row>
    <row r="227" ht="15.15" spans="1:6">
      <c r="A227" s="305" t="s">
        <v>1982</v>
      </c>
      <c r="B227" s="310" t="s">
        <v>2004</v>
      </c>
      <c r="C227" s="397">
        <v>0.15</v>
      </c>
      <c r="D227" s="397">
        <v>0.15</v>
      </c>
      <c r="E227" s="397">
        <v>0.15</v>
      </c>
      <c r="F227" s="398">
        <v>0.15</v>
      </c>
    </row>
    <row r="228" ht="15.15" spans="1:6">
      <c r="A228" s="305" t="s">
        <v>1982</v>
      </c>
      <c r="B228" s="310" t="s">
        <v>2005</v>
      </c>
      <c r="C228" s="397">
        <v>0.15</v>
      </c>
      <c r="D228" s="397">
        <v>0.15</v>
      </c>
      <c r="E228" s="397">
        <v>0.15</v>
      </c>
      <c r="F228" s="398">
        <v>0.15</v>
      </c>
    </row>
    <row r="229" ht="15.15" spans="1:6">
      <c r="A229" s="305" t="s">
        <v>1982</v>
      </c>
      <c r="B229" s="310" t="s">
        <v>2006</v>
      </c>
      <c r="C229" s="397">
        <v>0.15</v>
      </c>
      <c r="D229" s="397">
        <v>0.15</v>
      </c>
      <c r="E229" s="397">
        <v>0.15</v>
      </c>
      <c r="F229" s="402"/>
    </row>
    <row r="230" ht="15.15" spans="1:6">
      <c r="A230" s="305" t="s">
        <v>1982</v>
      </c>
      <c r="B230" s="310" t="s">
        <v>2007</v>
      </c>
      <c r="C230" s="397">
        <v>0.145</v>
      </c>
      <c r="D230" s="397">
        <v>0.145</v>
      </c>
      <c r="E230" s="397">
        <v>0.144</v>
      </c>
      <c r="F230" s="402"/>
    </row>
    <row r="231" ht="15.15" spans="1:6">
      <c r="A231" s="305" t="s">
        <v>1982</v>
      </c>
      <c r="B231" s="310" t="s">
        <v>2008</v>
      </c>
      <c r="C231" s="397">
        <v>0.128</v>
      </c>
      <c r="D231" s="397">
        <v>0.125</v>
      </c>
      <c r="E231" s="397">
        <v>0.132</v>
      </c>
      <c r="F231" s="402"/>
    </row>
    <row r="232" ht="15.15" spans="1:6">
      <c r="A232" s="305" t="s">
        <v>1982</v>
      </c>
      <c r="B232" s="310" t="s">
        <v>2009</v>
      </c>
      <c r="C232" s="397">
        <v>0.145</v>
      </c>
      <c r="D232" s="397">
        <v>0.144</v>
      </c>
      <c r="E232" s="397">
        <v>0.146</v>
      </c>
      <c r="F232" s="398">
        <v>0.138</v>
      </c>
    </row>
    <row r="233" ht="15.15" spans="1:6">
      <c r="A233" s="305" t="s">
        <v>1982</v>
      </c>
      <c r="B233" s="310" t="s">
        <v>2010</v>
      </c>
      <c r="C233" s="397">
        <v>0.145</v>
      </c>
      <c r="D233" s="397">
        <v>0.143</v>
      </c>
      <c r="E233" s="397">
        <v>0.142</v>
      </c>
      <c r="F233" s="402"/>
    </row>
    <row r="234" ht="15.15" spans="1:6">
      <c r="A234" s="305" t="s">
        <v>1982</v>
      </c>
      <c r="B234" s="310" t="s">
        <v>2011</v>
      </c>
      <c r="C234" s="397">
        <v>0.14</v>
      </c>
      <c r="D234" s="397">
        <v>0.14</v>
      </c>
      <c r="E234" s="397">
        <v>0.144</v>
      </c>
      <c r="F234" s="402"/>
    </row>
    <row r="235" ht="15.15" spans="1:6">
      <c r="A235" s="305" t="s">
        <v>1982</v>
      </c>
      <c r="B235" s="310" t="s">
        <v>2012</v>
      </c>
      <c r="C235" s="397">
        <v>0.141</v>
      </c>
      <c r="D235" s="397">
        <v>0.142</v>
      </c>
      <c r="E235" s="397">
        <v>0.145</v>
      </c>
      <c r="F235" s="398">
        <v>0.15</v>
      </c>
    </row>
    <row r="236" ht="15.1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5.15" spans="1:6">
      <c r="A245" s="305" t="s">
        <v>2022</v>
      </c>
      <c r="B245" s="306" t="s">
        <v>2023</v>
      </c>
      <c r="C245" s="395">
        <v>0.15</v>
      </c>
      <c r="D245" s="395">
        <v>0.15</v>
      </c>
      <c r="E245" s="395">
        <v>0.15</v>
      </c>
      <c r="F245" s="396">
        <v>0.143</v>
      </c>
    </row>
    <row r="246" ht="15.15" spans="1:6">
      <c r="A246" s="305" t="s">
        <v>2022</v>
      </c>
      <c r="B246" s="310" t="s">
        <v>2024</v>
      </c>
      <c r="C246" s="397">
        <v>0.15</v>
      </c>
      <c r="D246" s="397">
        <v>0.15</v>
      </c>
      <c r="E246" s="397">
        <v>0.15</v>
      </c>
      <c r="F246" s="398">
        <v>0.114</v>
      </c>
    </row>
    <row r="247" ht="15.15" spans="1:6">
      <c r="A247" s="305" t="s">
        <v>2022</v>
      </c>
      <c r="B247" s="310" t="s">
        <v>2025</v>
      </c>
      <c r="C247" s="397">
        <v>0.15</v>
      </c>
      <c r="D247" s="397">
        <v>0.15</v>
      </c>
      <c r="E247" s="397">
        <v>0.15</v>
      </c>
      <c r="F247" s="398">
        <v>0.15</v>
      </c>
    </row>
    <row r="248" ht="15.15" spans="1:6">
      <c r="A248" s="305" t="s">
        <v>2022</v>
      </c>
      <c r="B248" s="310" t="s">
        <v>2026</v>
      </c>
      <c r="C248" s="397">
        <v>0.15</v>
      </c>
      <c r="D248" s="397">
        <v>0.15</v>
      </c>
      <c r="E248" s="397">
        <v>0.15</v>
      </c>
      <c r="F248" s="398">
        <v>0.14</v>
      </c>
    </row>
    <row r="249" ht="15.15" spans="1:6">
      <c r="A249" s="305" t="s">
        <v>2022</v>
      </c>
      <c r="B249" s="310" t="s">
        <v>2027</v>
      </c>
      <c r="C249" s="397">
        <v>0.15</v>
      </c>
      <c r="D249" s="397">
        <v>0.149</v>
      </c>
      <c r="E249" s="397">
        <v>0.15</v>
      </c>
      <c r="F249" s="398">
        <v>0.1</v>
      </c>
    </row>
    <row r="250" ht="15.15" spans="1:6">
      <c r="A250" s="305" t="s">
        <v>2022</v>
      </c>
      <c r="B250" s="310" t="s">
        <v>2028</v>
      </c>
      <c r="C250" s="397">
        <v>0.15</v>
      </c>
      <c r="D250" s="397">
        <v>0.15</v>
      </c>
      <c r="E250" s="397">
        <v>0.15</v>
      </c>
      <c r="F250" s="398">
        <v>0.144</v>
      </c>
    </row>
    <row r="251" ht="15.15" spans="1:6">
      <c r="A251" s="305" t="s">
        <v>2022</v>
      </c>
      <c r="B251" s="310" t="s">
        <v>2029</v>
      </c>
      <c r="C251" s="397">
        <v>0.15</v>
      </c>
      <c r="D251" s="397">
        <v>0.15</v>
      </c>
      <c r="E251" s="397">
        <v>0.15</v>
      </c>
      <c r="F251" s="398">
        <v>0.143</v>
      </c>
    </row>
    <row r="252" ht="15.15" spans="1:6">
      <c r="A252" s="305" t="s">
        <v>2022</v>
      </c>
      <c r="B252" s="310" t="s">
        <v>2030</v>
      </c>
      <c r="C252" s="397">
        <v>0.15</v>
      </c>
      <c r="D252" s="397">
        <v>0.15</v>
      </c>
      <c r="E252" s="397">
        <v>0.15</v>
      </c>
      <c r="F252" s="398">
        <v>0.1</v>
      </c>
    </row>
    <row r="253" ht="15.15" spans="1:6">
      <c r="A253" s="305" t="s">
        <v>2022</v>
      </c>
      <c r="B253" s="310" t="s">
        <v>2031</v>
      </c>
      <c r="C253" s="397">
        <v>0.15</v>
      </c>
      <c r="D253" s="397">
        <v>0.15</v>
      </c>
      <c r="E253" s="397">
        <v>0.15</v>
      </c>
      <c r="F253" s="398">
        <v>0.1</v>
      </c>
    </row>
    <row r="254" ht="15.15" spans="1:6">
      <c r="A254" s="305" t="s">
        <v>2022</v>
      </c>
      <c r="B254" s="310" t="s">
        <v>2032</v>
      </c>
      <c r="C254" s="403"/>
      <c r="D254" s="403"/>
      <c r="E254" s="403"/>
      <c r="F254" s="398">
        <v>0.15</v>
      </c>
    </row>
    <row r="255" ht="15.15" spans="1:6">
      <c r="A255" s="305" t="s">
        <v>2022</v>
      </c>
      <c r="B255" s="310" t="s">
        <v>2033</v>
      </c>
      <c r="C255" s="403"/>
      <c r="D255" s="403"/>
      <c r="E255" s="403"/>
      <c r="F255" s="398">
        <v>0.143</v>
      </c>
    </row>
    <row r="256" ht="15.15" spans="1:6">
      <c r="A256" s="305" t="s">
        <v>2022</v>
      </c>
      <c r="B256" s="310" t="s">
        <v>2034</v>
      </c>
      <c r="C256" s="397">
        <v>0.146</v>
      </c>
      <c r="D256" s="397">
        <v>0.147</v>
      </c>
      <c r="E256" s="397">
        <v>0.15</v>
      </c>
      <c r="F256" s="398">
        <v>0.132</v>
      </c>
    </row>
    <row r="257" ht="15.15" spans="1:6">
      <c r="A257" s="305" t="s">
        <v>2022</v>
      </c>
      <c r="B257" s="310" t="s">
        <v>2035</v>
      </c>
      <c r="C257" s="397">
        <v>0.15</v>
      </c>
      <c r="D257" s="397">
        <v>0.15</v>
      </c>
      <c r="E257" s="397">
        <v>0.15</v>
      </c>
      <c r="F257" s="398">
        <v>0.139</v>
      </c>
    </row>
    <row r="258" ht="15.15" spans="1:6">
      <c r="A258" s="305" t="s">
        <v>2022</v>
      </c>
      <c r="B258" s="310" t="s">
        <v>2036</v>
      </c>
      <c r="C258" s="397">
        <v>0.15</v>
      </c>
      <c r="D258" s="397">
        <v>0.15</v>
      </c>
      <c r="E258" s="397">
        <v>0.15</v>
      </c>
      <c r="F258" s="398">
        <v>0.13</v>
      </c>
    </row>
    <row r="259" ht="15.15" spans="1:6">
      <c r="A259" s="305" t="s">
        <v>2022</v>
      </c>
      <c r="B259" s="310" t="s">
        <v>2037</v>
      </c>
      <c r="C259" s="397">
        <v>0.148</v>
      </c>
      <c r="D259" s="397">
        <v>0.149</v>
      </c>
      <c r="E259" s="397">
        <v>0.15</v>
      </c>
      <c r="F259" s="398">
        <v>0.137</v>
      </c>
    </row>
    <row r="260" ht="15.15" spans="1:6">
      <c r="A260" s="305" t="s">
        <v>2022</v>
      </c>
      <c r="B260" s="310" t="s">
        <v>2038</v>
      </c>
      <c r="C260" s="397">
        <v>0.15</v>
      </c>
      <c r="D260" s="397">
        <v>0.15</v>
      </c>
      <c r="E260" s="397">
        <v>0.15</v>
      </c>
      <c r="F260" s="398">
        <v>0.142</v>
      </c>
    </row>
    <row r="261" ht="15.15" spans="1:6">
      <c r="A261" s="305" t="s">
        <v>2022</v>
      </c>
      <c r="B261" s="310" t="s">
        <v>2039</v>
      </c>
      <c r="C261" s="397">
        <v>0.15</v>
      </c>
      <c r="D261" s="397">
        <v>0.15</v>
      </c>
      <c r="E261" s="397">
        <v>0.149</v>
      </c>
      <c r="F261" s="398">
        <v>0.148</v>
      </c>
    </row>
    <row r="262" ht="15.15" spans="1:6">
      <c r="A262" s="305" t="s">
        <v>2022</v>
      </c>
      <c r="B262" s="310" t="s">
        <v>2040</v>
      </c>
      <c r="C262" s="397">
        <v>0.15</v>
      </c>
      <c r="D262" s="397">
        <v>0.15</v>
      </c>
      <c r="E262" s="397">
        <v>0.15</v>
      </c>
      <c r="F262" s="402"/>
    </row>
    <row r="263" ht="15.15" spans="1:6">
      <c r="A263" s="305" t="s">
        <v>2022</v>
      </c>
      <c r="B263" s="310" t="s">
        <v>2041</v>
      </c>
      <c r="C263" s="397">
        <v>0.149</v>
      </c>
      <c r="D263" s="397">
        <v>0.149</v>
      </c>
      <c r="E263" s="397">
        <v>0.15</v>
      </c>
      <c r="F263" s="398">
        <v>0.13</v>
      </c>
    </row>
    <row r="264" ht="15.15" spans="1:6">
      <c r="A264" s="305" t="s">
        <v>2022</v>
      </c>
      <c r="B264" s="310" t="s">
        <v>2042</v>
      </c>
      <c r="C264" s="397">
        <v>0.148</v>
      </c>
      <c r="D264" s="397">
        <v>0.147</v>
      </c>
      <c r="E264" s="397">
        <v>0.15</v>
      </c>
      <c r="F264" s="398">
        <v>0.078</v>
      </c>
    </row>
    <row r="265" ht="15.15" spans="1:6">
      <c r="A265" s="305" t="s">
        <v>2022</v>
      </c>
      <c r="B265" s="310" t="s">
        <v>2043</v>
      </c>
      <c r="C265" s="397">
        <v>0.15</v>
      </c>
      <c r="D265" s="397">
        <v>0.15</v>
      </c>
      <c r="E265" s="397">
        <v>0.15</v>
      </c>
      <c r="F265" s="398">
        <v>0.074</v>
      </c>
    </row>
    <row r="266" ht="15.15" spans="1:6">
      <c r="A266" s="305" t="s">
        <v>2022</v>
      </c>
      <c r="B266" s="310" t="s">
        <v>2044</v>
      </c>
      <c r="C266" s="397">
        <v>0.147</v>
      </c>
      <c r="D266" s="397">
        <v>0.147</v>
      </c>
      <c r="E266" s="397">
        <v>0.15</v>
      </c>
      <c r="F266" s="398">
        <v>0.143</v>
      </c>
    </row>
    <row r="267" ht="15.15" spans="1:6">
      <c r="A267" s="305" t="s">
        <v>2022</v>
      </c>
      <c r="B267" s="310" t="s">
        <v>2045</v>
      </c>
      <c r="C267" s="397">
        <v>0.142</v>
      </c>
      <c r="D267" s="397">
        <v>0.143</v>
      </c>
      <c r="E267" s="397">
        <v>0.15</v>
      </c>
      <c r="F267" s="402"/>
    </row>
    <row r="268" ht="15.15" spans="1:6">
      <c r="A268" s="305" t="s">
        <v>2022</v>
      </c>
      <c r="B268" s="310" t="s">
        <v>2046</v>
      </c>
      <c r="C268" s="397">
        <v>0.15</v>
      </c>
      <c r="D268" s="397">
        <v>0.15</v>
      </c>
      <c r="E268" s="397">
        <v>0.15</v>
      </c>
      <c r="F268" s="398">
        <v>0.13</v>
      </c>
    </row>
    <row r="269" ht="15.15" spans="1:6">
      <c r="A269" s="305" t="s">
        <v>2022</v>
      </c>
      <c r="B269" s="310" t="s">
        <v>2047</v>
      </c>
      <c r="C269" s="397">
        <v>0.15</v>
      </c>
      <c r="D269" s="397">
        <v>0.15</v>
      </c>
      <c r="E269" s="397">
        <v>0.15</v>
      </c>
      <c r="F269" s="398">
        <v>0.143</v>
      </c>
    </row>
    <row r="270" ht="15.15" spans="1:6">
      <c r="A270" s="305" t="s">
        <v>2022</v>
      </c>
      <c r="B270" s="310" t="s">
        <v>2048</v>
      </c>
      <c r="C270" s="397">
        <v>0.145</v>
      </c>
      <c r="D270" s="397">
        <v>0.145</v>
      </c>
      <c r="E270" s="397">
        <v>0.15</v>
      </c>
      <c r="F270" s="398">
        <v>0.147</v>
      </c>
    </row>
    <row r="271" ht="15.15" spans="1:6">
      <c r="A271" s="305" t="s">
        <v>2022</v>
      </c>
      <c r="B271" s="310" t="s">
        <v>2049</v>
      </c>
      <c r="C271" s="397">
        <v>0.15</v>
      </c>
      <c r="D271" s="397">
        <v>0.15</v>
      </c>
      <c r="E271" s="397">
        <v>0.15</v>
      </c>
      <c r="F271" s="398">
        <v>0.138</v>
      </c>
    </row>
    <row r="272" ht="15.15" spans="1:6">
      <c r="A272" s="305" t="s">
        <v>2022</v>
      </c>
      <c r="B272" s="310" t="s">
        <v>2050</v>
      </c>
      <c r="C272" s="403"/>
      <c r="D272" s="403"/>
      <c r="E272" s="403"/>
      <c r="F272" s="398">
        <v>0.14</v>
      </c>
    </row>
    <row r="273" ht="15.15" spans="1:6">
      <c r="A273" s="305" t="s">
        <v>2022</v>
      </c>
      <c r="B273" s="310" t="s">
        <v>2051</v>
      </c>
      <c r="C273" s="397">
        <v>0.142</v>
      </c>
      <c r="D273" s="397">
        <v>0.143</v>
      </c>
      <c r="E273" s="397">
        <v>0.15</v>
      </c>
      <c r="F273" s="398">
        <v>0.1</v>
      </c>
    </row>
    <row r="274" ht="15.15" spans="1:6">
      <c r="A274" s="305" t="s">
        <v>2022</v>
      </c>
      <c r="B274" s="310" t="s">
        <v>2052</v>
      </c>
      <c r="C274" s="397">
        <v>0.148</v>
      </c>
      <c r="D274" s="397">
        <v>0.148</v>
      </c>
      <c r="E274" s="397">
        <v>0.15</v>
      </c>
      <c r="F274" s="398">
        <v>0.067</v>
      </c>
    </row>
    <row r="275" ht="15.15" spans="1:6">
      <c r="A275" s="305" t="s">
        <v>2022</v>
      </c>
      <c r="B275" s="310" t="s">
        <v>2053</v>
      </c>
      <c r="C275" s="397">
        <v>0.15</v>
      </c>
      <c r="D275" s="397">
        <v>0.15</v>
      </c>
      <c r="E275" s="397">
        <v>0.15</v>
      </c>
      <c r="F275" s="398">
        <v>0.15</v>
      </c>
    </row>
    <row r="276" ht="15.15" spans="1:6">
      <c r="A276" s="305" t="s">
        <v>2022</v>
      </c>
      <c r="B276" s="310" t="s">
        <v>2054</v>
      </c>
      <c r="C276" s="397">
        <v>0.145</v>
      </c>
      <c r="D276" s="397">
        <v>0.143</v>
      </c>
      <c r="E276" s="397">
        <v>0.15</v>
      </c>
      <c r="F276" s="398">
        <v>0.059</v>
      </c>
    </row>
    <row r="277" ht="15.15" spans="1:6">
      <c r="A277" s="305" t="s">
        <v>2022</v>
      </c>
      <c r="B277" s="310" t="s">
        <v>2055</v>
      </c>
      <c r="C277" s="397">
        <v>0.15</v>
      </c>
      <c r="D277" s="397">
        <v>0.15</v>
      </c>
      <c r="E277" s="397">
        <v>0.15</v>
      </c>
      <c r="F277" s="398">
        <v>0.121</v>
      </c>
    </row>
    <row r="278" ht="15.1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5.15" spans="1:6">
      <c r="A290" s="305" t="s">
        <v>2068</v>
      </c>
      <c r="B290" s="306" t="s">
        <v>2069</v>
      </c>
      <c r="C290" s="395">
        <v>0.15</v>
      </c>
      <c r="D290" s="395">
        <v>0.15</v>
      </c>
      <c r="E290" s="395">
        <v>0.15</v>
      </c>
      <c r="F290" s="412"/>
    </row>
    <row r="291" ht="15.15" spans="1:6">
      <c r="A291" s="305" t="s">
        <v>2068</v>
      </c>
      <c r="B291" s="310" t="s">
        <v>2070</v>
      </c>
      <c r="C291" s="397">
        <v>0.15</v>
      </c>
      <c r="D291" s="397">
        <v>0.15</v>
      </c>
      <c r="E291" s="397">
        <v>0.15</v>
      </c>
      <c r="F291" s="402"/>
    </row>
    <row r="292" ht="15.15" spans="1:6">
      <c r="A292" s="305" t="s">
        <v>2068</v>
      </c>
      <c r="B292" s="310" t="s">
        <v>2071</v>
      </c>
      <c r="C292" s="397">
        <v>0.15</v>
      </c>
      <c r="D292" s="397">
        <v>0.15</v>
      </c>
      <c r="E292" s="397">
        <v>0.15</v>
      </c>
      <c r="F292" s="398">
        <v>0.147</v>
      </c>
    </row>
    <row r="293" ht="15.15" spans="1:6">
      <c r="A293" s="305" t="s">
        <v>2068</v>
      </c>
      <c r="B293" s="310" t="s">
        <v>2072</v>
      </c>
      <c r="C293" s="403"/>
      <c r="D293" s="403"/>
      <c r="E293" s="403"/>
      <c r="F293" s="398">
        <v>0.1</v>
      </c>
    </row>
    <row r="294" ht="15.15" spans="1:6">
      <c r="A294" s="305" t="s">
        <v>2068</v>
      </c>
      <c r="B294" s="310" t="s">
        <v>2073</v>
      </c>
      <c r="C294" s="397">
        <v>0.15</v>
      </c>
      <c r="D294" s="397">
        <v>0.15</v>
      </c>
      <c r="E294" s="397">
        <v>0.15</v>
      </c>
      <c r="F294" s="398">
        <v>0.15</v>
      </c>
    </row>
    <row r="295" ht="15.15" spans="1:6">
      <c r="A295" s="305" t="s">
        <v>2068</v>
      </c>
      <c r="B295" s="310" t="s">
        <v>2074</v>
      </c>
      <c r="C295" s="397">
        <v>0.15</v>
      </c>
      <c r="D295" s="397">
        <v>0.15</v>
      </c>
      <c r="E295" s="397">
        <v>0.15</v>
      </c>
      <c r="F295" s="398">
        <v>0.15</v>
      </c>
    </row>
    <row r="296" ht="15.15" spans="1:6">
      <c r="A296" s="305" t="s">
        <v>2068</v>
      </c>
      <c r="B296" s="310" t="s">
        <v>2075</v>
      </c>
      <c r="C296" s="397">
        <v>0.15</v>
      </c>
      <c r="D296" s="397">
        <v>0.15</v>
      </c>
      <c r="E296" s="397">
        <v>0.15</v>
      </c>
      <c r="F296" s="398">
        <v>0.15</v>
      </c>
    </row>
    <row r="297" ht="15.15" spans="1:6">
      <c r="A297" s="305" t="s">
        <v>2068</v>
      </c>
      <c r="B297" s="310" t="s">
        <v>2076</v>
      </c>
      <c r="C297" s="397">
        <v>0.148</v>
      </c>
      <c r="D297" s="397">
        <v>0.149</v>
      </c>
      <c r="E297" s="397">
        <v>0.15</v>
      </c>
      <c r="F297" s="398">
        <v>0.137</v>
      </c>
    </row>
    <row r="298" ht="15.15" spans="1:6">
      <c r="A298" s="305" t="s">
        <v>2068</v>
      </c>
      <c r="B298" s="310" t="s">
        <v>2077</v>
      </c>
      <c r="C298" s="397">
        <v>0.134</v>
      </c>
      <c r="D298" s="397">
        <v>0.134</v>
      </c>
      <c r="E298" s="397">
        <v>0.145</v>
      </c>
      <c r="F298" s="398">
        <v>0.148</v>
      </c>
    </row>
    <row r="299" ht="15.15" spans="1:6">
      <c r="A299" s="305" t="s">
        <v>2068</v>
      </c>
      <c r="B299" s="310" t="s">
        <v>2078</v>
      </c>
      <c r="C299" s="397">
        <v>0.15</v>
      </c>
      <c r="D299" s="397">
        <v>0.15</v>
      </c>
      <c r="E299" s="397">
        <v>0.15</v>
      </c>
      <c r="F299" s="402"/>
    </row>
    <row r="300" ht="15.15" spans="1:6">
      <c r="A300" s="305" t="s">
        <v>2068</v>
      </c>
      <c r="B300" s="310" t="s">
        <v>2079</v>
      </c>
      <c r="C300" s="397">
        <v>0.15</v>
      </c>
      <c r="D300" s="397">
        <v>0.15</v>
      </c>
      <c r="E300" s="397">
        <v>0.15</v>
      </c>
      <c r="F300" s="398">
        <v>0.15</v>
      </c>
    </row>
    <row r="301" ht="15.15" spans="1:6">
      <c r="A301" s="305" t="s">
        <v>2068</v>
      </c>
      <c r="B301" s="310" t="s">
        <v>2080</v>
      </c>
      <c r="C301" s="397">
        <v>0.15</v>
      </c>
      <c r="D301" s="397">
        <v>0.15</v>
      </c>
      <c r="E301" s="397">
        <v>0.15</v>
      </c>
      <c r="F301" s="402"/>
    </row>
    <row r="302" ht="15.15" spans="1:6">
      <c r="A302" s="305" t="s">
        <v>2068</v>
      </c>
      <c r="B302" s="310" t="s">
        <v>2081</v>
      </c>
      <c r="C302" s="397">
        <v>0.15</v>
      </c>
      <c r="D302" s="397">
        <v>0.15</v>
      </c>
      <c r="E302" s="397">
        <v>0.15</v>
      </c>
      <c r="F302" s="398">
        <v>0.15</v>
      </c>
    </row>
    <row r="303" ht="15.15" spans="1:6">
      <c r="A303" s="305" t="s">
        <v>2068</v>
      </c>
      <c r="B303" s="310" t="s">
        <v>2082</v>
      </c>
      <c r="C303" s="397">
        <v>0.15</v>
      </c>
      <c r="D303" s="397">
        <v>0.15</v>
      </c>
      <c r="E303" s="397">
        <v>0.15</v>
      </c>
      <c r="F303" s="398">
        <v>0.15</v>
      </c>
    </row>
    <row r="304" ht="15.15" spans="1:6">
      <c r="A304" s="305" t="s">
        <v>2068</v>
      </c>
      <c r="B304" s="310" t="s">
        <v>2083</v>
      </c>
      <c r="C304" s="397">
        <v>0.15</v>
      </c>
      <c r="D304" s="397">
        <v>0.15</v>
      </c>
      <c r="E304" s="397">
        <v>0.15</v>
      </c>
      <c r="F304" s="402"/>
    </row>
    <row r="305" ht="15.15" spans="1:6">
      <c r="A305" s="305" t="s">
        <v>2068</v>
      </c>
      <c r="B305" s="310" t="s">
        <v>2084</v>
      </c>
      <c r="C305" s="397">
        <v>0.15</v>
      </c>
      <c r="D305" s="397">
        <v>0.15</v>
      </c>
      <c r="E305" s="397">
        <v>0.15</v>
      </c>
      <c r="F305" s="398">
        <v>0.14</v>
      </c>
    </row>
    <row r="306" ht="15.15" spans="1:6">
      <c r="A306" s="305" t="s">
        <v>2068</v>
      </c>
      <c r="B306" s="310" t="s">
        <v>2085</v>
      </c>
      <c r="C306" s="397">
        <v>0.15</v>
      </c>
      <c r="D306" s="397">
        <v>0.15</v>
      </c>
      <c r="E306" s="397">
        <v>0.15</v>
      </c>
      <c r="F306" s="402"/>
    </row>
    <row r="307" ht="15.15" spans="1:6">
      <c r="A307" s="305" t="s">
        <v>2068</v>
      </c>
      <c r="B307" s="310" t="s">
        <v>2086</v>
      </c>
      <c r="C307" s="397">
        <v>0.15</v>
      </c>
      <c r="D307" s="397">
        <v>0.15</v>
      </c>
      <c r="E307" s="397">
        <v>0.15</v>
      </c>
      <c r="F307" s="398">
        <v>0.143</v>
      </c>
    </row>
    <row r="308" ht="15.15" spans="1:6">
      <c r="A308" s="305" t="s">
        <v>2068</v>
      </c>
      <c r="B308" s="310" t="s">
        <v>2087</v>
      </c>
      <c r="C308" s="397">
        <v>0.15</v>
      </c>
      <c r="D308" s="397">
        <v>0.15</v>
      </c>
      <c r="E308" s="397">
        <v>0.15</v>
      </c>
      <c r="F308" s="398">
        <v>0.15</v>
      </c>
    </row>
    <row r="309" ht="15.15" spans="1:6">
      <c r="A309" s="305" t="s">
        <v>2068</v>
      </c>
      <c r="B309" s="310" t="s">
        <v>2088</v>
      </c>
      <c r="C309" s="397">
        <v>0.15</v>
      </c>
      <c r="D309" s="397">
        <v>0.15</v>
      </c>
      <c r="E309" s="397">
        <v>0.15</v>
      </c>
      <c r="F309" s="402"/>
    </row>
    <row r="310" ht="15.15" spans="1:6">
      <c r="A310" s="305" t="s">
        <v>2068</v>
      </c>
      <c r="B310" s="310" t="s">
        <v>2089</v>
      </c>
      <c r="C310" s="397">
        <v>0.15</v>
      </c>
      <c r="D310" s="397">
        <v>0.15</v>
      </c>
      <c r="E310" s="397">
        <v>0.15</v>
      </c>
      <c r="F310" s="398">
        <v>0.137</v>
      </c>
    </row>
    <row r="311" ht="15.15" spans="1:6">
      <c r="A311" s="305" t="s">
        <v>2068</v>
      </c>
      <c r="B311" s="310" t="s">
        <v>2090</v>
      </c>
      <c r="C311" s="397">
        <v>0.15</v>
      </c>
      <c r="D311" s="397">
        <v>0.15</v>
      </c>
      <c r="E311" s="397">
        <v>0.15</v>
      </c>
      <c r="F311" s="398">
        <v>0.15</v>
      </c>
    </row>
    <row r="312" ht="15.15" spans="1:6">
      <c r="A312" s="305" t="s">
        <v>2068</v>
      </c>
      <c r="B312" s="310" t="s">
        <v>2091</v>
      </c>
      <c r="C312" s="397">
        <v>0.15</v>
      </c>
      <c r="D312" s="397">
        <v>0.15</v>
      </c>
      <c r="E312" s="397">
        <v>0.15</v>
      </c>
      <c r="F312" s="398">
        <v>0.1</v>
      </c>
    </row>
    <row r="313" ht="15.1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5.15" spans="1:6">
      <c r="A317" s="305" t="s">
        <v>2096</v>
      </c>
      <c r="B317" s="306" t="s">
        <v>2097</v>
      </c>
      <c r="C317" s="395">
        <v>0.15</v>
      </c>
      <c r="D317" s="395">
        <v>0.15</v>
      </c>
      <c r="E317" s="395">
        <v>0.15</v>
      </c>
      <c r="F317" s="396">
        <v>0.15</v>
      </c>
    </row>
    <row r="318" ht="15.15" spans="1:6">
      <c r="A318" s="305" t="s">
        <v>2096</v>
      </c>
      <c r="B318" s="310" t="s">
        <v>2098</v>
      </c>
      <c r="C318" s="397">
        <v>0.107</v>
      </c>
      <c r="D318" s="397">
        <v>0.11</v>
      </c>
      <c r="E318" s="397">
        <v>0.112</v>
      </c>
      <c r="F318" s="402"/>
    </row>
    <row r="319" ht="15.15" spans="1:6">
      <c r="A319" s="305" t="s">
        <v>2096</v>
      </c>
      <c r="B319" s="310" t="s">
        <v>2099</v>
      </c>
      <c r="C319" s="397">
        <v>0.15</v>
      </c>
      <c r="D319" s="397">
        <v>0.15</v>
      </c>
      <c r="E319" s="397">
        <v>0.15</v>
      </c>
      <c r="F319" s="398">
        <v>0.15</v>
      </c>
    </row>
    <row r="320" ht="15.15" spans="1:6">
      <c r="A320" s="305" t="s">
        <v>2096</v>
      </c>
      <c r="B320" s="310" t="s">
        <v>2100</v>
      </c>
      <c r="C320" s="397">
        <v>0.15</v>
      </c>
      <c r="D320" s="397">
        <v>0.15</v>
      </c>
      <c r="E320" s="397">
        <v>0.15</v>
      </c>
      <c r="F320" s="402"/>
    </row>
    <row r="321" ht="15.15" spans="1:6">
      <c r="A321" s="305" t="s">
        <v>2096</v>
      </c>
      <c r="B321" s="310" t="s">
        <v>2101</v>
      </c>
      <c r="C321" s="397">
        <v>0.15</v>
      </c>
      <c r="D321" s="397">
        <v>0.15</v>
      </c>
      <c r="E321" s="397">
        <v>0.15</v>
      </c>
      <c r="F321" s="402"/>
    </row>
    <row r="322" ht="15.15" spans="1:6">
      <c r="A322" s="305" t="s">
        <v>2096</v>
      </c>
      <c r="B322" s="310" t="s">
        <v>2102</v>
      </c>
      <c r="C322" s="397">
        <v>0.15</v>
      </c>
      <c r="D322" s="397">
        <v>0.15</v>
      </c>
      <c r="E322" s="397">
        <v>0.15</v>
      </c>
      <c r="F322" s="398">
        <v>0.15</v>
      </c>
    </row>
    <row r="323" ht="15.15" spans="1:6">
      <c r="A323" s="305" t="s">
        <v>2096</v>
      </c>
      <c r="B323" s="310" t="s">
        <v>2103</v>
      </c>
      <c r="C323" s="397">
        <v>0.15</v>
      </c>
      <c r="D323" s="397">
        <v>0.15</v>
      </c>
      <c r="E323" s="397">
        <v>0.15</v>
      </c>
      <c r="F323" s="402"/>
    </row>
    <row r="324" ht="15.15" spans="1:6">
      <c r="A324" s="305" t="s">
        <v>2096</v>
      </c>
      <c r="B324" s="310" t="s">
        <v>2104</v>
      </c>
      <c r="C324" s="397">
        <v>0.15</v>
      </c>
      <c r="D324" s="397">
        <v>0.15</v>
      </c>
      <c r="E324" s="397">
        <v>0.15</v>
      </c>
      <c r="F324" s="402"/>
    </row>
    <row r="325" ht="15.15" spans="1:6">
      <c r="A325" s="305" t="s">
        <v>2096</v>
      </c>
      <c r="B325" s="310" t="s">
        <v>2105</v>
      </c>
      <c r="C325" s="397">
        <v>0.15</v>
      </c>
      <c r="D325" s="397">
        <v>0.15</v>
      </c>
      <c r="E325" s="397">
        <v>0.15</v>
      </c>
      <c r="F325" s="398">
        <v>0.147</v>
      </c>
    </row>
    <row r="326" ht="15.15" spans="1:6">
      <c r="A326" s="305" t="s">
        <v>2096</v>
      </c>
      <c r="B326" s="310" t="s">
        <v>2106</v>
      </c>
      <c r="C326" s="397">
        <v>0.15</v>
      </c>
      <c r="D326" s="397">
        <v>0.15</v>
      </c>
      <c r="E326" s="397">
        <v>0.15</v>
      </c>
      <c r="F326" s="402"/>
    </row>
    <row r="327" ht="15.15" spans="1:6">
      <c r="A327" s="305" t="s">
        <v>2096</v>
      </c>
      <c r="B327" s="310" t="s">
        <v>2107</v>
      </c>
      <c r="C327" s="397">
        <v>0.15</v>
      </c>
      <c r="D327" s="397">
        <v>0.15</v>
      </c>
      <c r="E327" s="397">
        <v>0.15</v>
      </c>
      <c r="F327" s="398">
        <v>0.15</v>
      </c>
    </row>
    <row r="328" ht="15.15" spans="1:6">
      <c r="A328" s="305" t="s">
        <v>2096</v>
      </c>
      <c r="B328" s="310" t="s">
        <v>2108</v>
      </c>
      <c r="C328" s="397">
        <v>0.15</v>
      </c>
      <c r="D328" s="397">
        <v>0.15</v>
      </c>
      <c r="E328" s="397">
        <v>0.15</v>
      </c>
      <c r="F328" s="398">
        <v>0.141</v>
      </c>
    </row>
    <row r="329" ht="15.15" spans="1:6">
      <c r="A329" s="305" t="s">
        <v>2096</v>
      </c>
      <c r="B329" s="310" t="s">
        <v>2109</v>
      </c>
      <c r="C329" s="397">
        <v>0.15</v>
      </c>
      <c r="D329" s="397">
        <v>0.15</v>
      </c>
      <c r="E329" s="397">
        <v>0.15</v>
      </c>
      <c r="F329" s="398">
        <v>0.15</v>
      </c>
    </row>
    <row r="330" ht="15.15" spans="1:6">
      <c r="A330" s="305" t="s">
        <v>2096</v>
      </c>
      <c r="B330" s="310" t="s">
        <v>2110</v>
      </c>
      <c r="C330" s="397">
        <v>0.15</v>
      </c>
      <c r="D330" s="397">
        <v>0.15</v>
      </c>
      <c r="E330" s="397">
        <v>0.15</v>
      </c>
      <c r="F330" s="402"/>
    </row>
    <row r="331" ht="15.15" spans="1:6">
      <c r="A331" s="305" t="s">
        <v>2096</v>
      </c>
      <c r="B331" s="310" t="s">
        <v>2111</v>
      </c>
      <c r="C331" s="397">
        <v>0.15</v>
      </c>
      <c r="D331" s="397">
        <v>0.15</v>
      </c>
      <c r="E331" s="397">
        <v>0.15</v>
      </c>
      <c r="F331" s="398">
        <v>0.15</v>
      </c>
    </row>
    <row r="332" ht="15.15" spans="1:6">
      <c r="A332" s="305" t="s">
        <v>2096</v>
      </c>
      <c r="B332" s="310" t="s">
        <v>2112</v>
      </c>
      <c r="C332" s="397">
        <v>0.15</v>
      </c>
      <c r="D332" s="397">
        <v>0.15</v>
      </c>
      <c r="E332" s="397">
        <v>0.15</v>
      </c>
      <c r="F332" s="398">
        <v>0.15</v>
      </c>
    </row>
    <row r="333" ht="15.15" spans="1:6">
      <c r="A333" s="305" t="s">
        <v>2096</v>
      </c>
      <c r="B333" s="310" t="s">
        <v>2113</v>
      </c>
      <c r="C333" s="397">
        <v>0.15</v>
      </c>
      <c r="D333" s="397">
        <v>0.15</v>
      </c>
      <c r="E333" s="397">
        <v>0.15</v>
      </c>
      <c r="F333" s="398">
        <v>0.141</v>
      </c>
    </row>
    <row r="334" ht="15.15" spans="1:6">
      <c r="A334" s="305" t="s">
        <v>2096</v>
      </c>
      <c r="B334" s="310" t="s">
        <v>2114</v>
      </c>
      <c r="C334" s="397">
        <v>0.15</v>
      </c>
      <c r="D334" s="397">
        <v>0.15</v>
      </c>
      <c r="E334" s="397">
        <v>0.15</v>
      </c>
      <c r="F334" s="398">
        <v>0.15</v>
      </c>
    </row>
    <row r="335" ht="15.15" spans="1:6">
      <c r="A335" s="305" t="s">
        <v>2096</v>
      </c>
      <c r="B335" s="310" t="s">
        <v>2115</v>
      </c>
      <c r="C335" s="397">
        <v>0.15</v>
      </c>
      <c r="D335" s="397">
        <v>0.15</v>
      </c>
      <c r="E335" s="397">
        <v>0.15</v>
      </c>
      <c r="F335" s="402"/>
    </row>
    <row r="336" ht="15.15" spans="1:6">
      <c r="A336" s="305" t="s">
        <v>2096</v>
      </c>
      <c r="B336" s="310" t="s">
        <v>2116</v>
      </c>
      <c r="C336" s="397">
        <v>0.15</v>
      </c>
      <c r="D336" s="397">
        <v>0.15</v>
      </c>
      <c r="E336" s="397">
        <v>0.15</v>
      </c>
      <c r="F336" s="398">
        <v>0.118</v>
      </c>
    </row>
    <row r="337" ht="15.15" spans="1:6">
      <c r="A337" s="323" t="s">
        <v>2096</v>
      </c>
      <c r="B337" s="316" t="s">
        <v>2117</v>
      </c>
      <c r="C337" s="400"/>
      <c r="D337" s="400"/>
      <c r="E337" s="400"/>
      <c r="F337" s="404">
        <v>0.143</v>
      </c>
    </row>
    <row r="338" ht="15.15" spans="1:6">
      <c r="A338" s="305" t="s">
        <v>2118</v>
      </c>
      <c r="B338" s="306" t="s">
        <v>2119</v>
      </c>
      <c r="C338" s="395">
        <v>0.15</v>
      </c>
      <c r="D338" s="395">
        <v>0.15</v>
      </c>
      <c r="E338" s="395">
        <v>0.15</v>
      </c>
      <c r="F338" s="412"/>
    </row>
    <row r="339" ht="15.15" spans="1:6">
      <c r="A339" s="305" t="s">
        <v>2118</v>
      </c>
      <c r="B339" s="310" t="s">
        <v>2120</v>
      </c>
      <c r="C339" s="397">
        <v>0.15</v>
      </c>
      <c r="D339" s="397">
        <v>0.15</v>
      </c>
      <c r="E339" s="397">
        <v>0.15</v>
      </c>
      <c r="F339" s="402"/>
    </row>
    <row r="340" ht="15.15" spans="1:6">
      <c r="A340" s="305" t="s">
        <v>2118</v>
      </c>
      <c r="B340" s="310" t="s">
        <v>2121</v>
      </c>
      <c r="C340" s="397">
        <v>0.15</v>
      </c>
      <c r="D340" s="397">
        <v>0.15</v>
      </c>
      <c r="E340" s="397">
        <v>0.15</v>
      </c>
      <c r="F340" s="402"/>
    </row>
    <row r="341" ht="15.15" spans="1:6">
      <c r="A341" s="305" t="s">
        <v>2118</v>
      </c>
      <c r="B341" s="310" t="s">
        <v>2122</v>
      </c>
      <c r="C341" s="397">
        <v>0.15</v>
      </c>
      <c r="D341" s="397">
        <v>0.15</v>
      </c>
      <c r="E341" s="397">
        <v>0.15</v>
      </c>
      <c r="F341" s="398">
        <v>0.15</v>
      </c>
    </row>
    <row r="342" ht="15.15" spans="1:6">
      <c r="A342" s="305" t="s">
        <v>2118</v>
      </c>
      <c r="B342" s="310" t="s">
        <v>2123</v>
      </c>
      <c r="C342" s="397">
        <v>0.15</v>
      </c>
      <c r="D342" s="397">
        <v>0.15</v>
      </c>
      <c r="E342" s="397">
        <v>0.15</v>
      </c>
      <c r="F342" s="398">
        <v>0.15</v>
      </c>
    </row>
    <row r="343" ht="15.15" spans="1:6">
      <c r="A343" s="305" t="s">
        <v>2118</v>
      </c>
      <c r="B343" s="310" t="s">
        <v>2124</v>
      </c>
      <c r="C343" s="397">
        <v>0.15</v>
      </c>
      <c r="D343" s="397">
        <v>0.15</v>
      </c>
      <c r="E343" s="397">
        <v>0.15</v>
      </c>
      <c r="F343" s="398">
        <v>0.15</v>
      </c>
    </row>
    <row r="344" ht="15.1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2127</v>
      </c>
      <c r="B3" s="354" t="s">
        <v>2128</v>
      </c>
      <c r="C3" s="355" t="s">
        <v>2129</v>
      </c>
      <c r="D3" s="356" t="s">
        <v>2130</v>
      </c>
      <c r="E3" s="356" t="s">
        <v>2131</v>
      </c>
      <c r="F3" s="357" t="s">
        <v>2132</v>
      </c>
      <c r="G3" s="358" t="s">
        <v>2133</v>
      </c>
      <c r="H3" s="356" t="s">
        <v>1447</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1065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1117</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2141</v>
      </c>
      <c r="B6" s="354">
        <f>估价对象房地状况!C19</f>
        <v>0</v>
      </c>
      <c r="C6" s="360" t="s">
        <v>1065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1119</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2144</v>
      </c>
      <c r="B8" s="354">
        <f>估价对象房地状况!C10</f>
        <v>0</v>
      </c>
      <c r="C8" s="360" t="s">
        <v>1065</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2145</v>
      </c>
      <c r="B9" s="370" t="s">
        <v>2146</v>
      </c>
      <c r="C9" s="360" t="s">
        <v>1065</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2147</v>
      </c>
      <c r="B10" s="372" t="str">
        <f>估价对象房地状况!C7</f>
        <v>估价对象所在区域公共配套设施齐备情况</v>
      </c>
      <c r="C10" s="360" t="s">
        <v>1116</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2148</v>
      </c>
      <c r="B11" s="373"/>
      <c r="C11" s="360" t="s">
        <v>1117</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2149</v>
      </c>
      <c r="B12" s="375" t="str">
        <f>估价对象房地状况!C9</f>
        <v>区域自然环境：；人文环境；综合评价环境状况一般</v>
      </c>
      <c r="C12" s="360" t="s">
        <v>1116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1772</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1447</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1065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1065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2141</v>
      </c>
      <c r="B17" s="354">
        <f>估价对象房地状况!C19</f>
        <v>0</v>
      </c>
      <c r="C17" s="360" t="s">
        <v>1065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1065</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2144</v>
      </c>
      <c r="B19" s="354">
        <f>估价对象房地状况!C10</f>
        <v>0</v>
      </c>
      <c r="C19" s="360" t="s">
        <v>1065</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2145</v>
      </c>
      <c r="B20" s="370" t="s">
        <v>2146</v>
      </c>
      <c r="C20" s="360" t="s">
        <v>1065</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2147</v>
      </c>
      <c r="B21" s="372" t="str">
        <f>估价对象房地状况!C7</f>
        <v>估价对象所在区域公共配套设施齐备情况</v>
      </c>
      <c r="C21" s="360" t="s">
        <v>1065</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2148</v>
      </c>
      <c r="B22" s="373"/>
      <c r="C22" s="360" t="s">
        <v>1065</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2149</v>
      </c>
      <c r="B23" s="379" t="str">
        <f>估价对象房地状况!C9</f>
        <v>区域自然环境：；人文环境；综合评价环境状况一般</v>
      </c>
      <c r="C23" s="360" t="s">
        <v>1065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1594</v>
      </c>
      <c r="B24" s="348">
        <f>1+F26</f>
        <v>1.0597</v>
      </c>
      <c r="C24" s="378"/>
      <c r="D24" s="350"/>
      <c r="E24" s="350"/>
      <c r="F24" s="351"/>
      <c r="G24" s="352"/>
      <c r="H24" s="345"/>
      <c r="I24" s="295"/>
      <c r="J24" s="295"/>
      <c r="K24" s="295"/>
      <c r="L24" s="295"/>
      <c r="M24" s="295"/>
    </row>
    <row r="25" ht="24" spans="1:13">
      <c r="A25" s="353" t="s">
        <v>2127</v>
      </c>
      <c r="B25" s="354"/>
      <c r="C25" s="355" t="s">
        <v>2129</v>
      </c>
      <c r="D25" s="356" t="s">
        <v>2130</v>
      </c>
      <c r="E25" s="356" t="s">
        <v>2131</v>
      </c>
      <c r="F25" s="357" t="s">
        <v>2132</v>
      </c>
      <c r="G25" s="358" t="s">
        <v>2133</v>
      </c>
      <c r="H25" s="356" t="s">
        <v>1447</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1065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1065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2141</v>
      </c>
      <c r="B28" s="354">
        <f>估价对象房地状况!C19</f>
        <v>0</v>
      </c>
      <c r="C28" s="360" t="s">
        <v>1065</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2152</v>
      </c>
      <c r="B29" s="354">
        <f>估价对象房地状况!C10</f>
        <v>0</v>
      </c>
      <c r="C29" s="360" t="s">
        <v>1116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2147</v>
      </c>
      <c r="B30" s="372" t="str">
        <f>估价对象房地状况!C7</f>
        <v>估价对象所在区域公共配套设施齐备情况</v>
      </c>
      <c r="C30" s="360" t="s">
        <v>1065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2148</v>
      </c>
      <c r="B31" s="373"/>
      <c r="C31" s="360" t="s">
        <v>1116</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2145</v>
      </c>
      <c r="B32" s="370" t="s">
        <v>2146</v>
      </c>
      <c r="C32" s="360" t="s">
        <v>1065</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2149</v>
      </c>
      <c r="B33" s="359" t="str">
        <f>估价对象房地状况!C9</f>
        <v>区域自然环境：；人文环境；综合评价环境状况一般</v>
      </c>
      <c r="C33" s="360" t="s">
        <v>1065</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2153</v>
      </c>
      <c r="B34" s="382" t="s">
        <v>2154</v>
      </c>
      <c r="C34" s="360" t="s">
        <v>1117</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1773</v>
      </c>
      <c r="B35" s="348">
        <f>1+F37</f>
        <v>1.0128</v>
      </c>
      <c r="C35" s="378"/>
      <c r="D35" s="350"/>
      <c r="E35" s="350"/>
      <c r="F35" s="351"/>
      <c r="G35" s="352"/>
      <c r="H35" s="345"/>
      <c r="I35" s="295"/>
      <c r="J35" s="295"/>
      <c r="K35" s="295"/>
      <c r="L35" s="295"/>
      <c r="M35" s="295"/>
    </row>
    <row r="36" ht="24" spans="1:13">
      <c r="A36" s="353" t="s">
        <v>2127</v>
      </c>
      <c r="B36" s="354"/>
      <c r="C36" s="355" t="s">
        <v>2129</v>
      </c>
      <c r="D36" s="356" t="s">
        <v>2130</v>
      </c>
      <c r="E36" s="356" t="s">
        <v>2131</v>
      </c>
      <c r="F36" s="357" t="s">
        <v>2132</v>
      </c>
      <c r="G36" s="358" t="s">
        <v>2133</v>
      </c>
      <c r="H36" s="356" t="s">
        <v>1447</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1065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1065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2141</v>
      </c>
      <c r="B39" s="354">
        <f>估价对象房地状况!G17</f>
        <v>0</v>
      </c>
      <c r="C39" s="360" t="s">
        <v>1065</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2152</v>
      </c>
      <c r="B40" s="354">
        <f>估价对象房地状况!G22</f>
        <v>0</v>
      </c>
      <c r="C40" s="360" t="s">
        <v>1065</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2147</v>
      </c>
      <c r="B41" s="372" t="str">
        <f>估价对象房地状况!G19</f>
        <v>估价对象所在区域公共配套设施齐备情况</v>
      </c>
      <c r="C41" s="360" t="s">
        <v>1065</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2148</v>
      </c>
      <c r="B42" s="373"/>
      <c r="C42" s="360" t="s">
        <v>1065</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2145</v>
      </c>
      <c r="B43" s="370" t="s">
        <v>2146</v>
      </c>
      <c r="C43" s="360" t="s">
        <v>1118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1116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353</v>
      </c>
      <c r="O1" s="329" t="s">
        <v>1933</v>
      </c>
      <c r="P1" s="329" t="s">
        <v>1982</v>
      </c>
      <c r="Q1" s="329" t="s">
        <v>2022</v>
      </c>
      <c r="R1" s="329" t="s">
        <v>2068</v>
      </c>
      <c r="S1" s="329" t="s">
        <v>2096</v>
      </c>
      <c r="T1" s="331" t="s">
        <v>2118</v>
      </c>
    </row>
    <row r="2" ht="15.1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463</v>
      </c>
      <c r="D3" s="300" t="s">
        <v>1772</v>
      </c>
      <c r="E3" s="300" t="s">
        <v>1594</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353</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356</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353</v>
      </c>
      <c r="B110" s="306" t="s">
        <v>1886</v>
      </c>
      <c r="C110" s="306">
        <v>10520</v>
      </c>
      <c r="D110" s="306">
        <v>10490</v>
      </c>
      <c r="E110" s="306">
        <v>10760</v>
      </c>
      <c r="F110" s="307">
        <v>2160</v>
      </c>
      <c r="H110" s="325"/>
    </row>
    <row r="111" s="293" customFormat="1" ht="14.25" customHeight="1" spans="1:8">
      <c r="A111" s="305" t="s">
        <v>353</v>
      </c>
      <c r="B111" s="310" t="s">
        <v>1887</v>
      </c>
      <c r="C111" s="310">
        <v>10090</v>
      </c>
      <c r="D111" s="310">
        <v>10060</v>
      </c>
      <c r="E111" s="310">
        <v>10300</v>
      </c>
      <c r="F111" s="318">
        <v>2010</v>
      </c>
      <c r="H111" s="325"/>
    </row>
    <row r="112" s="293" customFormat="1" ht="14.25" customHeight="1" spans="1:8">
      <c r="A112" s="305" t="s">
        <v>353</v>
      </c>
      <c r="B112" s="310" t="s">
        <v>1888</v>
      </c>
      <c r="C112" s="310">
        <v>9910</v>
      </c>
      <c r="D112" s="310">
        <v>9850</v>
      </c>
      <c r="E112" s="310">
        <v>9960</v>
      </c>
      <c r="F112" s="318">
        <v>2090</v>
      </c>
      <c r="H112" s="325"/>
    </row>
    <row r="113" s="293" customFormat="1" ht="14.25" customHeight="1" spans="1:8">
      <c r="A113" s="305" t="s">
        <v>353</v>
      </c>
      <c r="B113" s="310" t="s">
        <v>1889</v>
      </c>
      <c r="C113" s="310">
        <v>11430</v>
      </c>
      <c r="D113" s="310">
        <v>11400</v>
      </c>
      <c r="E113" s="310">
        <v>11710</v>
      </c>
      <c r="F113" s="318">
        <v>2050</v>
      </c>
      <c r="H113" s="325"/>
    </row>
    <row r="114" s="293" customFormat="1" ht="14.25" customHeight="1" spans="1:8">
      <c r="A114" s="305" t="s">
        <v>353</v>
      </c>
      <c r="B114" s="310" t="s">
        <v>1890</v>
      </c>
      <c r="C114" s="310">
        <v>11390</v>
      </c>
      <c r="D114" s="310">
        <v>11350</v>
      </c>
      <c r="E114" s="310">
        <v>11640</v>
      </c>
      <c r="F114" s="318">
        <v>1620</v>
      </c>
      <c r="H114" s="325"/>
    </row>
    <row r="115" s="293" customFormat="1" ht="14.25" customHeight="1" spans="1:8">
      <c r="A115" s="305" t="s">
        <v>353</v>
      </c>
      <c r="B115" s="310" t="s">
        <v>1891</v>
      </c>
      <c r="C115" s="310">
        <v>9930</v>
      </c>
      <c r="D115" s="310">
        <v>9900</v>
      </c>
      <c r="E115" s="310">
        <v>10160</v>
      </c>
      <c r="F115" s="318">
        <v>1580</v>
      </c>
      <c r="H115" s="325"/>
    </row>
    <row r="116" s="293" customFormat="1" ht="14.25" customHeight="1" spans="1:8">
      <c r="A116" s="305" t="s">
        <v>353</v>
      </c>
      <c r="B116" s="310" t="s">
        <v>1892</v>
      </c>
      <c r="C116" s="310">
        <v>9150</v>
      </c>
      <c r="D116" s="310">
        <v>9120</v>
      </c>
      <c r="E116" s="310">
        <v>9380</v>
      </c>
      <c r="F116" s="318">
        <v>1750</v>
      </c>
      <c r="H116" s="325"/>
    </row>
    <row r="117" s="293" customFormat="1" ht="14.25" customHeight="1" spans="1:8">
      <c r="A117" s="305" t="s">
        <v>353</v>
      </c>
      <c r="B117" s="310" t="s">
        <v>1893</v>
      </c>
      <c r="C117" s="310">
        <v>10680</v>
      </c>
      <c r="D117" s="310">
        <v>10650</v>
      </c>
      <c r="E117" s="310">
        <v>10970</v>
      </c>
      <c r="F117" s="318">
        <v>1730</v>
      </c>
      <c r="H117" s="325"/>
    </row>
    <row r="118" s="293" customFormat="1" ht="14.25" customHeight="1" spans="1:8">
      <c r="A118" s="305" t="s">
        <v>353</v>
      </c>
      <c r="B118" s="310" t="s">
        <v>1894</v>
      </c>
      <c r="C118" s="310">
        <v>10080</v>
      </c>
      <c r="D118" s="310">
        <v>10050</v>
      </c>
      <c r="E118" s="310">
        <v>10350</v>
      </c>
      <c r="F118" s="318">
        <v>1920</v>
      </c>
      <c r="H118" s="325"/>
    </row>
    <row r="119" s="293" customFormat="1" ht="14.25" customHeight="1" spans="1:8">
      <c r="A119" s="305" t="s">
        <v>353</v>
      </c>
      <c r="B119" s="310" t="s">
        <v>1895</v>
      </c>
      <c r="C119" s="310">
        <v>9450</v>
      </c>
      <c r="D119" s="310">
        <v>9410</v>
      </c>
      <c r="E119" s="310">
        <v>9680</v>
      </c>
      <c r="F119" s="318">
        <v>1880</v>
      </c>
      <c r="H119" s="325"/>
    </row>
    <row r="120" s="293" customFormat="1" ht="14.25" customHeight="1" spans="1:8">
      <c r="A120" s="305" t="s">
        <v>353</v>
      </c>
      <c r="B120" s="310" t="s">
        <v>1896</v>
      </c>
      <c r="C120" s="310">
        <v>8730</v>
      </c>
      <c r="D120" s="310">
        <v>8700</v>
      </c>
      <c r="E120" s="310">
        <v>8950</v>
      </c>
      <c r="F120" s="318">
        <v>1830</v>
      </c>
      <c r="H120" s="325"/>
    </row>
    <row r="121" s="293" customFormat="1" ht="14.25" customHeight="1" spans="1:8">
      <c r="A121" s="305" t="s">
        <v>353</v>
      </c>
      <c r="B121" s="310" t="s">
        <v>1897</v>
      </c>
      <c r="C121" s="310">
        <v>10070</v>
      </c>
      <c r="D121" s="310">
        <v>10040</v>
      </c>
      <c r="E121" s="310">
        <v>10270</v>
      </c>
      <c r="F121" s="318">
        <v>1960</v>
      </c>
      <c r="H121" s="325"/>
    </row>
    <row r="122" s="293" customFormat="1" ht="14.25" customHeight="1" spans="1:8">
      <c r="A122" s="305" t="s">
        <v>353</v>
      </c>
      <c r="B122" s="310" t="s">
        <v>1898</v>
      </c>
      <c r="C122" s="310">
        <v>10500</v>
      </c>
      <c r="D122" s="310">
        <v>10470</v>
      </c>
      <c r="E122" s="310">
        <v>10780</v>
      </c>
      <c r="F122" s="318">
        <v>2180</v>
      </c>
      <c r="H122" s="325"/>
    </row>
    <row r="123" s="293" customFormat="1" ht="14.25" customHeight="1" spans="1:8">
      <c r="A123" s="305" t="s">
        <v>353</v>
      </c>
      <c r="B123" s="310" t="s">
        <v>1899</v>
      </c>
      <c r="C123" s="310">
        <v>10390</v>
      </c>
      <c r="D123" s="310">
        <v>10360</v>
      </c>
      <c r="E123" s="310">
        <v>10660</v>
      </c>
      <c r="F123" s="318">
        <v>2040</v>
      </c>
      <c r="H123" s="325"/>
    </row>
    <row r="124" s="293" customFormat="1" ht="14.25" customHeight="1" spans="1:8">
      <c r="A124" s="305" t="s">
        <v>353</v>
      </c>
      <c r="B124" s="310" t="s">
        <v>1900</v>
      </c>
      <c r="C124" s="310">
        <v>10390</v>
      </c>
      <c r="D124" s="310">
        <v>10360</v>
      </c>
      <c r="E124" s="310">
        <v>10680</v>
      </c>
      <c r="F124" s="327"/>
      <c r="H124" s="325"/>
    </row>
    <row r="125" s="293" customFormat="1" ht="14.25" customHeight="1" spans="1:8">
      <c r="A125" s="305" t="s">
        <v>353</v>
      </c>
      <c r="B125" s="310" t="s">
        <v>1901</v>
      </c>
      <c r="C125" s="310">
        <v>10440</v>
      </c>
      <c r="D125" s="310">
        <v>10410</v>
      </c>
      <c r="E125" s="310">
        <v>10710</v>
      </c>
      <c r="F125" s="327"/>
      <c r="H125" s="325"/>
    </row>
    <row r="126" s="293" customFormat="1" ht="14.25" customHeight="1" spans="1:8">
      <c r="A126" s="305" t="s">
        <v>353</v>
      </c>
      <c r="B126" s="310" t="s">
        <v>1902</v>
      </c>
      <c r="C126" s="310">
        <v>10780</v>
      </c>
      <c r="D126" s="310">
        <v>10750</v>
      </c>
      <c r="E126" s="310">
        <v>11080</v>
      </c>
      <c r="F126" s="327"/>
      <c r="H126" s="325"/>
    </row>
    <row r="127" s="293" customFormat="1" ht="14.25" customHeight="1" spans="1:8">
      <c r="A127" s="305" t="s">
        <v>353</v>
      </c>
      <c r="B127" s="310" t="s">
        <v>1903</v>
      </c>
      <c r="C127" s="310">
        <v>10100</v>
      </c>
      <c r="D127" s="310">
        <v>10070</v>
      </c>
      <c r="E127" s="310">
        <v>10350</v>
      </c>
      <c r="F127" s="327"/>
      <c r="H127" s="325"/>
    </row>
    <row r="128" s="293" customFormat="1" ht="14.25" customHeight="1" spans="1:8">
      <c r="A128" s="305" t="s">
        <v>353</v>
      </c>
      <c r="B128" s="310" t="s">
        <v>1904</v>
      </c>
      <c r="C128" s="310">
        <v>9200</v>
      </c>
      <c r="D128" s="310">
        <v>9160</v>
      </c>
      <c r="E128" s="310">
        <v>9660</v>
      </c>
      <c r="F128" s="327"/>
      <c r="H128" s="325"/>
    </row>
    <row r="129" s="293" customFormat="1" ht="14.25" customHeight="1" spans="1:8">
      <c r="A129" s="305" t="s">
        <v>353</v>
      </c>
      <c r="B129" s="310" t="s">
        <v>1905</v>
      </c>
      <c r="C129" s="310">
        <v>10340</v>
      </c>
      <c r="D129" s="310">
        <v>10310</v>
      </c>
      <c r="E129" s="310">
        <v>10580</v>
      </c>
      <c r="F129" s="327"/>
      <c r="H129" s="325"/>
    </row>
    <row r="130" s="293" customFormat="1" ht="14.25" customHeight="1" spans="1:8">
      <c r="A130" s="305" t="s">
        <v>353</v>
      </c>
      <c r="B130" s="310" t="s">
        <v>1906</v>
      </c>
      <c r="C130" s="310">
        <v>9680</v>
      </c>
      <c r="D130" s="310">
        <v>9660</v>
      </c>
      <c r="E130" s="310">
        <v>9950</v>
      </c>
      <c r="F130" s="327"/>
      <c r="H130" s="325"/>
    </row>
    <row r="131" s="293" customFormat="1" ht="14.25" customHeight="1" spans="1:8">
      <c r="A131" s="305" t="s">
        <v>353</v>
      </c>
      <c r="B131" s="310" t="s">
        <v>1907</v>
      </c>
      <c r="C131" s="310">
        <v>9540</v>
      </c>
      <c r="D131" s="310">
        <v>9510</v>
      </c>
      <c r="E131" s="310">
        <v>9790</v>
      </c>
      <c r="F131" s="327"/>
      <c r="H131" s="325"/>
    </row>
    <row r="132" s="293" customFormat="1" ht="14.25" customHeight="1" spans="1:8">
      <c r="A132" s="305" t="s">
        <v>353</v>
      </c>
      <c r="B132" s="310" t="s">
        <v>1908</v>
      </c>
      <c r="C132" s="310">
        <v>9320</v>
      </c>
      <c r="D132" s="310">
        <v>9290</v>
      </c>
      <c r="E132" s="310">
        <v>9570</v>
      </c>
      <c r="F132" s="327"/>
      <c r="H132" s="325"/>
    </row>
    <row r="133" s="293" customFormat="1" ht="14.25" customHeight="1" spans="1:8">
      <c r="A133" s="305" t="s">
        <v>353</v>
      </c>
      <c r="B133" s="310" t="s">
        <v>1909</v>
      </c>
      <c r="C133" s="310">
        <v>10310</v>
      </c>
      <c r="D133" s="310">
        <v>10280</v>
      </c>
      <c r="E133" s="310">
        <v>10530</v>
      </c>
      <c r="F133" s="327"/>
      <c r="H133" s="325"/>
    </row>
    <row r="134" s="293" customFormat="1" ht="14.25" customHeight="1" spans="1:8">
      <c r="A134" s="305" t="s">
        <v>353</v>
      </c>
      <c r="B134" s="310" t="s">
        <v>1910</v>
      </c>
      <c r="C134" s="310">
        <v>10370</v>
      </c>
      <c r="D134" s="310">
        <v>10310</v>
      </c>
      <c r="E134" s="310">
        <v>10240</v>
      </c>
      <c r="F134" s="318">
        <v>2060</v>
      </c>
      <c r="H134" s="325"/>
    </row>
    <row r="135" s="293" customFormat="1" ht="14.25" customHeight="1" spans="1:8">
      <c r="A135" s="305" t="s">
        <v>353</v>
      </c>
      <c r="B135" s="310" t="s">
        <v>1911</v>
      </c>
      <c r="C135" s="310">
        <v>9300</v>
      </c>
      <c r="D135" s="310">
        <v>9270</v>
      </c>
      <c r="E135" s="310">
        <v>9350</v>
      </c>
      <c r="F135" s="327"/>
      <c r="H135" s="325"/>
    </row>
    <row r="136" s="293" customFormat="1" ht="14.25" customHeight="1" spans="1:8">
      <c r="A136" s="305" t="s">
        <v>353</v>
      </c>
      <c r="B136" s="310" t="s">
        <v>1912</v>
      </c>
      <c r="C136" s="310">
        <v>10160</v>
      </c>
      <c r="D136" s="310">
        <v>10110</v>
      </c>
      <c r="E136" s="310">
        <v>10080</v>
      </c>
      <c r="F136" s="327"/>
      <c r="H136" s="325"/>
    </row>
    <row r="137" s="293" customFormat="1" ht="14.25" customHeight="1" spans="1:8">
      <c r="A137" s="305" t="s">
        <v>353</v>
      </c>
      <c r="B137" s="310" t="s">
        <v>1913</v>
      </c>
      <c r="C137" s="310">
        <v>9200</v>
      </c>
      <c r="D137" s="310">
        <v>9170</v>
      </c>
      <c r="E137" s="310">
        <v>9450</v>
      </c>
      <c r="F137" s="327"/>
      <c r="H137" s="325"/>
    </row>
    <row r="138" s="293" customFormat="1" ht="14.25" customHeight="1" spans="1:8">
      <c r="A138" s="305" t="s">
        <v>353</v>
      </c>
      <c r="B138" s="310" t="s">
        <v>1914</v>
      </c>
      <c r="C138" s="310">
        <v>9690</v>
      </c>
      <c r="D138" s="310">
        <v>9660</v>
      </c>
      <c r="E138" s="310">
        <v>9840</v>
      </c>
      <c r="F138" s="327"/>
      <c r="H138" s="325"/>
    </row>
    <row r="139" s="293" customFormat="1" ht="14.25" customHeight="1" spans="1:8">
      <c r="A139" s="305" t="s">
        <v>353</v>
      </c>
      <c r="B139" s="310" t="s">
        <v>1915</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1916</v>
      </c>
      <c r="C141" s="310">
        <v>9810</v>
      </c>
      <c r="D141" s="310">
        <v>9770</v>
      </c>
      <c r="E141" s="310">
        <v>10060</v>
      </c>
      <c r="F141" s="327"/>
      <c r="H141" s="325"/>
    </row>
    <row r="142" s="293" customFormat="1" ht="14.25" customHeight="1" spans="1:8">
      <c r="A142" s="305" t="s">
        <v>353</v>
      </c>
      <c r="B142" s="310" t="s">
        <v>1917</v>
      </c>
      <c r="C142" s="310">
        <v>9300</v>
      </c>
      <c r="D142" s="310">
        <v>9270</v>
      </c>
      <c r="E142" s="310">
        <v>9530</v>
      </c>
      <c r="F142" s="327"/>
      <c r="H142" s="325"/>
    </row>
    <row r="143" s="293" customFormat="1" ht="14.25" customHeight="1" spans="1:8">
      <c r="A143" s="305" t="s">
        <v>353</v>
      </c>
      <c r="B143" s="310" t="s">
        <v>1918</v>
      </c>
      <c r="C143" s="310">
        <v>10080</v>
      </c>
      <c r="D143" s="310">
        <v>10050</v>
      </c>
      <c r="E143" s="310">
        <v>10340</v>
      </c>
      <c r="F143" s="327"/>
      <c r="H143" s="325"/>
    </row>
    <row r="144" s="293" customFormat="1" ht="14.25" customHeight="1" spans="1:8">
      <c r="A144" s="305" t="s">
        <v>353</v>
      </c>
      <c r="B144" s="310" t="s">
        <v>1919</v>
      </c>
      <c r="C144" s="310">
        <v>9820</v>
      </c>
      <c r="D144" s="310">
        <v>9750</v>
      </c>
      <c r="E144" s="310">
        <v>9900</v>
      </c>
      <c r="F144" s="327"/>
      <c r="H144" s="325"/>
    </row>
    <row r="145" s="293" customFormat="1" ht="14.25" customHeight="1" spans="1:8">
      <c r="A145" s="305" t="s">
        <v>353</v>
      </c>
      <c r="B145" s="310" t="s">
        <v>1920</v>
      </c>
      <c r="C145" s="310"/>
      <c r="D145" s="310"/>
      <c r="E145" s="310"/>
      <c r="F145" s="318">
        <v>1740</v>
      </c>
      <c r="H145" s="325"/>
    </row>
    <row r="146" s="293" customFormat="1" ht="14.25" customHeight="1" spans="1:8">
      <c r="A146" s="305" t="s">
        <v>353</v>
      </c>
      <c r="B146" s="310" t="s">
        <v>1921</v>
      </c>
      <c r="C146" s="310"/>
      <c r="D146" s="310"/>
      <c r="E146" s="310"/>
      <c r="F146" s="318">
        <v>1740</v>
      </c>
      <c r="H146" s="325"/>
    </row>
    <row r="147" s="293" customFormat="1" ht="14.25" customHeight="1" spans="1:8">
      <c r="A147" s="305" t="s">
        <v>353</v>
      </c>
      <c r="B147" s="310" t="s">
        <v>1922</v>
      </c>
      <c r="C147" s="310"/>
      <c r="D147" s="310"/>
      <c r="E147" s="310"/>
      <c r="F147" s="318">
        <v>1740</v>
      </c>
      <c r="H147" s="325"/>
    </row>
    <row r="148" s="293" customFormat="1" ht="14.25" customHeight="1" spans="1:8">
      <c r="A148" s="305" t="s">
        <v>353</v>
      </c>
      <c r="B148" s="310" t="s">
        <v>1923</v>
      </c>
      <c r="C148" s="310"/>
      <c r="D148" s="310"/>
      <c r="E148" s="310"/>
      <c r="F148" s="318">
        <v>1740</v>
      </c>
      <c r="H148" s="325"/>
    </row>
    <row r="149" s="293" customFormat="1" ht="14.25" customHeight="1" spans="1:8">
      <c r="A149" s="305" t="s">
        <v>353</v>
      </c>
      <c r="B149" s="310" t="s">
        <v>1924</v>
      </c>
      <c r="C149" s="310"/>
      <c r="D149" s="310"/>
      <c r="E149" s="310"/>
      <c r="F149" s="318">
        <v>1740</v>
      </c>
      <c r="H149" s="325"/>
    </row>
    <row r="150" s="293" customFormat="1" ht="14.25" customHeight="1" spans="1:8">
      <c r="A150" s="305" t="s">
        <v>353</v>
      </c>
      <c r="B150" s="310" t="s">
        <v>1925</v>
      </c>
      <c r="C150" s="310"/>
      <c r="D150" s="310"/>
      <c r="E150" s="310"/>
      <c r="F150" s="318">
        <v>1610</v>
      </c>
      <c r="H150" s="325"/>
    </row>
    <row r="151" s="293" customFormat="1" ht="14.25" customHeight="1" spans="1:8">
      <c r="A151" s="305" t="s">
        <v>353</v>
      </c>
      <c r="B151" s="310" t="s">
        <v>1926</v>
      </c>
      <c r="C151" s="310"/>
      <c r="D151" s="310"/>
      <c r="E151" s="310"/>
      <c r="F151" s="318">
        <v>1610</v>
      </c>
      <c r="H151" s="325"/>
    </row>
    <row r="152" s="293" customFormat="1" ht="14.25" customHeight="1" spans="1:8">
      <c r="A152" s="305" t="s">
        <v>353</v>
      </c>
      <c r="B152" s="310" t="s">
        <v>1927</v>
      </c>
      <c r="C152" s="310"/>
      <c r="D152" s="310"/>
      <c r="E152" s="310"/>
      <c r="F152" s="318">
        <v>1610</v>
      </c>
      <c r="H152" s="325"/>
    </row>
    <row r="153" s="293" customFormat="1" ht="14.25" customHeight="1" spans="1:8">
      <c r="A153" s="305" t="s">
        <v>353</v>
      </c>
      <c r="B153" s="310" t="s">
        <v>1928</v>
      </c>
      <c r="C153" s="310"/>
      <c r="D153" s="310"/>
      <c r="E153" s="310"/>
      <c r="F153" s="318">
        <v>1610</v>
      </c>
      <c r="H153" s="325"/>
    </row>
    <row r="154" s="293" customFormat="1" ht="14.25" customHeight="1" spans="1:8">
      <c r="A154" s="305" t="s">
        <v>353</v>
      </c>
      <c r="B154" s="310" t="s">
        <v>1929</v>
      </c>
      <c r="C154" s="310"/>
      <c r="D154" s="310"/>
      <c r="E154" s="310"/>
      <c r="F154" s="318">
        <v>1610</v>
      </c>
      <c r="H154" s="325"/>
    </row>
    <row r="155" s="293" customFormat="1" ht="14.25" customHeight="1" spans="1:8">
      <c r="A155" s="305" t="s">
        <v>353</v>
      </c>
      <c r="B155" s="310" t="s">
        <v>1930</v>
      </c>
      <c r="C155" s="310"/>
      <c r="D155" s="310"/>
      <c r="E155" s="310"/>
      <c r="F155" s="318">
        <v>1800</v>
      </c>
      <c r="H155" s="325"/>
    </row>
    <row r="156" s="293" customFormat="1" ht="14.25" customHeight="1" spans="1:8">
      <c r="A156" s="305" t="s">
        <v>353</v>
      </c>
      <c r="B156" s="310" t="s">
        <v>1931</v>
      </c>
      <c r="C156" s="310"/>
      <c r="D156" s="310"/>
      <c r="E156" s="310"/>
      <c r="F156" s="318">
        <v>1910</v>
      </c>
      <c r="H156" s="325"/>
    </row>
    <row r="157" s="293" customFormat="1" ht="14.25" customHeight="1" spans="1:8">
      <c r="A157" s="305" t="s">
        <v>353</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2161</v>
      </c>
      <c r="B1" s="223" t="s">
        <v>1776</v>
      </c>
      <c r="C1" s="223" t="s">
        <v>1782</v>
      </c>
      <c r="D1" s="223" t="s">
        <v>1802</v>
      </c>
      <c r="E1" s="223" t="s">
        <v>1823</v>
      </c>
      <c r="F1" s="223" t="s">
        <v>1851</v>
      </c>
      <c r="G1" s="223" t="s">
        <v>353</v>
      </c>
      <c r="H1" s="223" t="s">
        <v>1933</v>
      </c>
      <c r="I1" s="223" t="s">
        <v>1982</v>
      </c>
      <c r="J1" s="223" t="s">
        <v>2022</v>
      </c>
      <c r="K1" s="223" t="s">
        <v>2068</v>
      </c>
      <c r="L1" s="223" t="s">
        <v>2096</v>
      </c>
      <c r="M1" s="280" t="s">
        <v>2118</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1772</v>
      </c>
      <c r="B3" s="228">
        <v>3.5</v>
      </c>
      <c r="C3" s="228">
        <v>3.5</v>
      </c>
      <c r="D3" s="229">
        <v>2.5</v>
      </c>
      <c r="E3" s="229">
        <v>2.5</v>
      </c>
      <c r="F3" s="229">
        <v>2.5</v>
      </c>
      <c r="G3" s="229">
        <v>2.5</v>
      </c>
      <c r="H3" s="229">
        <v>2.5</v>
      </c>
      <c r="I3" s="228">
        <v>2</v>
      </c>
      <c r="J3" s="228">
        <v>2</v>
      </c>
      <c r="K3" s="228">
        <v>2</v>
      </c>
      <c r="L3" s="228">
        <v>2</v>
      </c>
      <c r="M3" s="282">
        <v>2</v>
      </c>
    </row>
    <row r="4" customHeight="1" spans="1:13">
      <c r="A4" s="227" t="s">
        <v>1594</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463</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1772</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1594</v>
      </c>
      <c r="B40" s="265" t="s">
        <v>1594</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463</v>
      </c>
      <c r="C55" s="240" t="s">
        <v>463</v>
      </c>
      <c r="D55" s="240" t="s">
        <v>463</v>
      </c>
      <c r="E55" s="238" t="s">
        <v>1772</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4.4" spans="1:6">
      <c r="A72" s="274"/>
      <c r="B72" s="274"/>
      <c r="C72" s="274" t="s">
        <v>2255</v>
      </c>
      <c r="D72" s="274"/>
      <c r="E72" s="291" t="s">
        <v>121</v>
      </c>
      <c r="F72" s="274" t="s">
        <v>121</v>
      </c>
    </row>
    <row r="73" ht="14.4"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4.4"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36" spans="1:6">
      <c r="A84" s="274">
        <v>12</v>
      </c>
      <c r="B84" s="255"/>
      <c r="C84" s="238" t="s">
        <v>2279</v>
      </c>
      <c r="D84" s="238" t="s">
        <v>2280</v>
      </c>
      <c r="E84" s="291">
        <v>0.1</v>
      </c>
      <c r="F84" s="274">
        <v>15</v>
      </c>
    </row>
    <row r="85" ht="24" spans="1:6">
      <c r="A85" s="274">
        <v>13</v>
      </c>
      <c r="B85" s="255"/>
      <c r="C85" s="238" t="s">
        <v>2281</v>
      </c>
      <c r="D85" s="238" t="s">
        <v>2282</v>
      </c>
      <c r="E85" s="291">
        <v>0.1</v>
      </c>
      <c r="F85" s="274">
        <v>15</v>
      </c>
    </row>
    <row r="86" ht="24" spans="1:6">
      <c r="A86" s="274">
        <v>14</v>
      </c>
      <c r="B86" s="255"/>
      <c r="C86" s="238" t="s">
        <v>2283</v>
      </c>
      <c r="D86" s="238" t="s">
        <v>2284</v>
      </c>
      <c r="E86" s="291">
        <v>0.1</v>
      </c>
      <c r="F86" s="274">
        <v>15</v>
      </c>
    </row>
    <row r="87" ht="24"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4.4"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4.4"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24"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36"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36"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36"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24"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24"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24"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24" spans="1:6">
      <c r="A127" s="274">
        <v>55</v>
      </c>
      <c r="B127" s="274" t="s">
        <v>2374</v>
      </c>
      <c r="C127" s="274" t="s">
        <v>2375</v>
      </c>
      <c r="D127" s="238" t="s">
        <v>2376</v>
      </c>
      <c r="E127" s="291">
        <v>0.1</v>
      </c>
      <c r="F127" s="274">
        <v>15</v>
      </c>
    </row>
    <row r="128" ht="24"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24"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353</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2404</v>
      </c>
      <c r="B103" s="213"/>
      <c r="C103" s="213"/>
      <c r="D103" s="213"/>
      <c r="E103" s="213"/>
      <c r="F103" s="213"/>
      <c r="G103" s="213"/>
      <c r="H103" s="213"/>
      <c r="I103" s="213"/>
      <c r="J103" s="213"/>
      <c r="K103" s="213"/>
      <c r="L103" s="213"/>
      <c r="M103" s="213"/>
      <c r="N103" s="213"/>
    </row>
    <row r="104" ht="15.6" spans="1:14">
      <c r="A104" s="214" t="s">
        <v>2403</v>
      </c>
      <c r="B104" s="215" t="s">
        <v>1776</v>
      </c>
      <c r="C104" s="215" t="s">
        <v>1782</v>
      </c>
      <c r="D104" s="215" t="s">
        <v>1802</v>
      </c>
      <c r="E104" s="215" t="s">
        <v>1823</v>
      </c>
      <c r="F104" s="215" t="s">
        <v>1851</v>
      </c>
      <c r="G104" s="215" t="s">
        <v>353</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353</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353</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5.15" spans="2:34">
      <c r="B2" s="85" t="s">
        <v>2413</v>
      </c>
      <c r="C2" s="85" t="s">
        <v>2414</v>
      </c>
      <c r="D2" s="86" t="s">
        <v>1772</v>
      </c>
      <c r="E2" s="86" t="s">
        <v>1594</v>
      </c>
      <c r="F2" s="85" t="s">
        <v>2415</v>
      </c>
      <c r="G2" s="87"/>
      <c r="I2" s="85" t="s">
        <v>2413</v>
      </c>
      <c r="J2" s="86" t="s">
        <v>2178</v>
      </c>
      <c r="K2" s="86" t="s">
        <v>1594</v>
      </c>
      <c r="L2" s="85" t="s">
        <v>2415</v>
      </c>
      <c r="N2" s="85" t="s">
        <v>2413</v>
      </c>
      <c r="O2" s="86" t="s">
        <v>2178</v>
      </c>
      <c r="P2" s="86" t="s">
        <v>1594</v>
      </c>
      <c r="Q2" s="85" t="s">
        <v>2415</v>
      </c>
      <c r="S2" s="85" t="s">
        <v>2413</v>
      </c>
      <c r="T2" s="86" t="s">
        <v>2178</v>
      </c>
      <c r="U2" s="86" t="s">
        <v>1594</v>
      </c>
      <c r="V2" s="85" t="s">
        <v>2415</v>
      </c>
      <c r="X2" s="85" t="s">
        <v>2413</v>
      </c>
      <c r="Y2" s="85" t="s">
        <v>2414</v>
      </c>
      <c r="Z2" s="86" t="s">
        <v>1772</v>
      </c>
      <c r="AA2" s="86" t="s">
        <v>1594</v>
      </c>
      <c r="AB2" s="85" t="s">
        <v>2415</v>
      </c>
      <c r="AD2" s="85" t="s">
        <v>2413</v>
      </c>
      <c r="AE2" s="85" t="s">
        <v>2414</v>
      </c>
      <c r="AF2" s="86" t="s">
        <v>1772</v>
      </c>
      <c r="AG2" s="86" t="s">
        <v>1594</v>
      </c>
      <c r="AH2" s="85" t="s">
        <v>2415</v>
      </c>
    </row>
    <row r="3" s="74" customFormat="1" ht="14.4"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9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679</v>
      </c>
      <c r="C1" s="8">
        <f>项目基本情况!D2</f>
        <v>44883</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4" customWidth="1"/>
    <col min="2" max="2" width="37.8796296296296" style="3524" customWidth="1"/>
    <col min="3" max="3" width="16.1296296296296" style="3524" customWidth="1"/>
    <col min="4" max="4" width="22.25" style="3524" customWidth="1"/>
    <col min="5" max="5" width="4.12962962962963"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644.12</v>
      </c>
      <c r="D6" s="3534"/>
      <c r="E6" s="3526"/>
    </row>
    <row r="7" ht="15.6" spans="1:5">
      <c r="A7" s="3526"/>
      <c r="B7" s="3535" t="s">
        <v>89</v>
      </c>
      <c r="C7" s="3536" t="str">
        <f>IF('数据-取费表'!B3="万元","总价（万元）","总价（元）")</f>
        <v>总价（万元）</v>
      </c>
      <c r="D7" s="3534">
        <f ca="1">IF('数据-取费表'!E3="否",结果表!I102,'结果表 (1修多)'!I104)</f>
        <v>2739</v>
      </c>
      <c r="E7" s="3526"/>
    </row>
    <row r="8" ht="31.2" spans="1:5">
      <c r="A8" s="3526"/>
      <c r="B8" s="3535"/>
      <c r="C8" s="3537" t="s">
        <v>90</v>
      </c>
      <c r="D8" s="3538" t="str">
        <f ca="1">IF('数据-取费表'!B3="万元",NUMBERSTRING(INT(D7*10000),2)&amp;"元整",NUMBERSTRING(INT(D7),2)&amp;"元整")</f>
        <v>贰仟柒佰叁拾玖万元整</v>
      </c>
      <c r="E8" s="3526"/>
    </row>
    <row r="9" ht="15.6" spans="1:5">
      <c r="A9" s="3526"/>
      <c r="B9" s="3535"/>
      <c r="C9" s="3539" t="s">
        <v>91</v>
      </c>
      <c r="D9" s="3534">
        <f ca="1">IF('数据-取费表'!E3="否",结果表!I103,'结果表 (1修多)'!I105)</f>
        <v>42518</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2739</v>
      </c>
      <c r="E15" s="3526"/>
    </row>
    <row r="16" ht="31.2" spans="1:5">
      <c r="A16" s="3526"/>
      <c r="B16" s="3533"/>
      <c r="C16" s="3537" t="s">
        <v>90</v>
      </c>
      <c r="D16" s="3534" t="str">
        <f ca="1">IF('数据-取费表'!B3="万元",NUMBERSTRING(INT(D15*10000),2)&amp;"元整",NUMBERSTRING(INT(D15),2)&amp;"元整")</f>
        <v>贰仟柒佰叁拾玖万元整</v>
      </c>
      <c r="E16" s="3526"/>
    </row>
    <row r="17" ht="15.6" spans="1:5">
      <c r="A17" s="3526"/>
      <c r="B17" s="3533"/>
      <c r="C17" s="3539" t="s">
        <v>91</v>
      </c>
      <c r="D17" s="3534">
        <f ca="1">IF('数据-取费表'!E3="否",结果表!I111,'结果表 (1修多)'!I113)</f>
        <v>42518</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2739</v>
      </c>
      <c r="E28" s="3526"/>
    </row>
    <row r="29" ht="31.2" spans="1:5">
      <c r="A29" s="3526"/>
      <c r="B29" s="3558"/>
      <c r="C29" s="3559" t="s">
        <v>90</v>
      </c>
      <c r="D29" s="3560" t="str">
        <f ca="1">IF('数据-取费表'!B3="万元",NUMBERSTRING(INT(D28*10000),2)&amp;"元整",NUMBERSTRING(INT(D28),2)&amp;"元整")</f>
        <v>贰仟柒佰叁拾玖万元整</v>
      </c>
      <c r="E29" s="3526"/>
    </row>
    <row r="30" ht="15.6" spans="1:5">
      <c r="A30" s="3526"/>
      <c r="B30" s="3561"/>
      <c r="C30" s="3539" t="s">
        <v>99</v>
      </c>
      <c r="D30" s="3562">
        <f ca="1">IF('数据-取费表'!E3="否",结果表!I103,'结果表 (1修多)'!I105)</f>
        <v>42518</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2739</v>
      </c>
      <c r="E36" s="3526"/>
    </row>
    <row r="37" ht="31.2" spans="1:5">
      <c r="A37" s="3526"/>
      <c r="B37" s="3564"/>
      <c r="C37" s="3559" t="s">
        <v>90</v>
      </c>
      <c r="D37" s="3565" t="str">
        <f ca="1">IF('数据-取费表'!B3="万元",NUMBERSTRING(INT(D36*10000),2)&amp;"元整",NUMBERSTRING(INT(D36),2)&amp;"元整")</f>
        <v>贰仟柒佰叁拾玖万元整</v>
      </c>
      <c r="E37" s="3526"/>
    </row>
    <row r="38" ht="15.6" spans="1:5">
      <c r="A38" s="3526"/>
      <c r="B38" s="3564"/>
      <c r="C38" s="3539" t="s">
        <v>99</v>
      </c>
      <c r="D38" s="3562">
        <f ca="1">IF('数据-取费表'!E3="否",结果表!D113,'结果表 (1修多)'!D117)</f>
        <v>42518</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4" customWidth="1"/>
    <col min="2" max="9" width="12.25"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644.12</v>
      </c>
      <c r="C4" s="3515">
        <f>结果表!C121</f>
        <v>429.62</v>
      </c>
      <c r="D4" s="3515">
        <f ca="1">IF('数据-取费表'!E3="否",结果表!D121,'结果表 (1修多)'!D125)</f>
        <v>129</v>
      </c>
      <c r="E4" s="3515">
        <f ca="1">IF('数据-取费表'!E3="否",结果表!E121,'结果表 (1修多)'!E125)</f>
        <v>2000</v>
      </c>
      <c r="F4" s="3515">
        <f ca="1">IF('数据-取费表'!E3="否",结果表!F121,'结果表 (1修多)'!F125)</f>
        <v>287</v>
      </c>
      <c r="G4" s="3515">
        <f ca="1">IF('数据-取费表'!E3="否",结果表!G121,'结果表 (1修多)'!G125)</f>
        <v>4460</v>
      </c>
      <c r="H4" s="3515">
        <f ca="1">IF('数据-取费表'!E3="否",结果表!H121,'结果表 (1修多)'!H125)</f>
        <v>2739</v>
      </c>
      <c r="I4" s="3515">
        <f ca="1">IF('数据-取费表'!E3="否",结果表!I121,'结果表 (1修多)'!I125)</f>
        <v>42518</v>
      </c>
    </row>
    <row r="5" ht="15" spans="1:9">
      <c r="A5" s="3515" t="s">
        <v>109</v>
      </c>
      <c r="B5" s="3515"/>
      <c r="C5" s="3515"/>
      <c r="D5" s="3516" t="str">
        <f ca="1">IF('数据-取费表'!E3="否",结果表!D122,'结果表 (1修多)'!D126)</f>
        <v>壹佰贰拾玖万元整</v>
      </c>
      <c r="E5" s="3516"/>
      <c r="F5" s="3516" t="str">
        <f ca="1">IF('数据-取费表'!E3="否",结果表!F122,'结果表 (1修多)'!F126)</f>
        <v>贰佰捌拾柒万元整</v>
      </c>
      <c r="G5" s="3516"/>
      <c r="H5" s="3516" t="str">
        <f ca="1">IF('数据-取费表'!E3="否",结果表!H122,'结果表 (1修多)'!H126)</f>
        <v>贰仟柒佰叁拾玖万元整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2739</v>
      </c>
      <c r="E8" s="3517"/>
      <c r="F8" s="3517"/>
      <c r="G8" s="3517"/>
      <c r="H8" s="3517"/>
      <c r="I8" s="3517"/>
    </row>
    <row r="9" ht="15" spans="1:9">
      <c r="A9" s="3515" t="s">
        <v>109</v>
      </c>
      <c r="B9" s="3515"/>
      <c r="C9" s="3515"/>
      <c r="D9" s="3516">
        <f ca="1">IF('数据-取费表'!E3="否",结果表!D126,'结果表 (1修多)'!D130)</f>
        <v>42518</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4" customWidth="1"/>
    <col min="2" max="2" width="24" style="3494" customWidth="1"/>
    <col min="3" max="3" width="23.25"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2" customWidth="1"/>
    <col min="2" max="16384" width="14.5"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0" customWidth="1"/>
    <col min="2" max="2" width="38.6296296296296" style="3440" customWidth="1"/>
    <col min="3" max="3" width="26" style="3440" customWidth="1"/>
    <col min="4" max="4" width="35" style="3440" hidden="1" customWidth="1"/>
    <col min="5" max="5" width="30.1296296296296" style="3440" customWidth="1"/>
    <col min="6" max="6" width="35.5" style="3440" customWidth="1"/>
    <col min="7" max="7" width="31" style="3440" customWidth="1"/>
    <col min="8" max="8" width="37.5" style="3440" hidden="1" customWidth="1"/>
    <col min="9" max="16384" width="22.6296296296296" style="3440"/>
  </cols>
  <sheetData>
    <row r="1" customHeight="1" spans="1:8">
      <c r="A1" s="3441"/>
      <c r="B1" s="3441"/>
      <c r="C1" s="3441"/>
      <c r="D1" s="3441"/>
      <c r="E1" s="3441"/>
      <c r="F1" s="3441"/>
      <c r="G1" s="3441"/>
      <c r="H1" s="3441"/>
    </row>
    <row r="2" customHeight="1" spans="1:8">
      <c r="A2" s="3442" t="s">
        <v>162</v>
      </c>
      <c r="B2" s="3443">
        <f ca="1">TODAY()</f>
        <v>44893</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t="str">
        <f ca="1">IF(C4&lt;B2,"已过期",1119970066)</f>
        <v>已过期</v>
      </c>
      <c r="C4" s="3450">
        <v>44876</v>
      </c>
      <c r="D4" s="3451" t="str">
        <f ca="1">A4&amp;"（注册号："&amp;B4&amp;"）"</f>
        <v>梁津（注册号：已过期）</v>
      </c>
      <c r="E4" s="3452" t="s">
        <v>171</v>
      </c>
      <c r="F4" s="3449">
        <f ca="1">IF(G4&lt;B2,"已过期",96010014)</f>
        <v>96010014</v>
      </c>
      <c r="G4" s="3453">
        <v>47118</v>
      </c>
      <c r="H4" s="3454" t="str">
        <f ca="1">E4&amp;"（注册号："&amp;F4&amp;"）"</f>
        <v>梁津（注册号：96010014）</v>
      </c>
    </row>
    <row r="5" customHeight="1" spans="1:8">
      <c r="A5" s="3449" t="s">
        <v>172</v>
      </c>
      <c r="B5" s="3449" t="str">
        <f ca="1">IF(C5&lt;B2,"已过期",1119970111)</f>
        <v>已过期</v>
      </c>
      <c r="C5" s="3450">
        <v>44876</v>
      </c>
      <c r="D5" s="3451" t="str">
        <f ca="1" t="shared" ref="D5:D14" si="0">A5&amp;"（注册号："&amp;B5&amp;"）"</f>
        <v>叶凌（注册号：已过期）</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t="str">
        <f ca="1">IF(C7&lt;B2,"已过期",1120000080)</f>
        <v>已过期</v>
      </c>
      <c r="C7" s="3450">
        <v>44876</v>
      </c>
      <c r="D7" s="3451" t="str">
        <f ca="1" t="shared" si="0"/>
        <v>欧红伟（注册号：已过期）</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t="str">
        <f ca="1">IF(C12&lt;B2,"已过期",1120040230)</f>
        <v>已过期</v>
      </c>
      <c r="C12" s="3455">
        <v>44864</v>
      </c>
      <c r="D12" s="3451" t="str">
        <f ca="1" t="shared" si="0"/>
        <v>苏海（注册号：已过期）</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5" style="3424" customWidth="1"/>
    <col min="3" max="3" width="13" style="2918" hidden="1" customWidth="1"/>
    <col min="4" max="4" width="5.75" style="3425" hidden="1" customWidth="1"/>
    <col min="5" max="5" width="7.12962962962963" style="3425" hidden="1" customWidth="1"/>
    <col min="6" max="6" width="10.6296296296296" style="3425" hidden="1" customWidth="1"/>
    <col min="7" max="7" width="7.5" style="3425" hidden="1" customWidth="1"/>
    <col min="8" max="8" width="9" style="2918" hidden="1" customWidth="1"/>
    <col min="9" max="9" width="11.6296296296296" style="2918" hidden="1" customWidth="1"/>
    <col min="10" max="10" width="9" style="2918" hidden="1" customWidth="1"/>
    <col min="11" max="19" width="9" style="3425" hidden="1" customWidth="1"/>
    <col min="20" max="24" width="9" style="2918" hidden="1" customWidth="1"/>
    <col min="25" max="25" width="9" style="2918" customWidth="1"/>
    <col min="26" max="26" width="15.8796296296296"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780" t="s">
        <v>121</v>
      </c>
      <c r="B2" s="1780"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780"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780"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780" t="s">
        <v>252</v>
      </c>
      <c r="B5" s="1780"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780" t="s">
        <v>260</v>
      </c>
      <c r="B6" s="1780"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780" t="s">
        <v>266</v>
      </c>
      <c r="B7" s="2612" t="s">
        <v>267</v>
      </c>
      <c r="C7" s="3430" t="s">
        <v>268</v>
      </c>
      <c r="F7" s="3425" t="s">
        <v>269</v>
      </c>
      <c r="H7" s="3425" t="s">
        <v>155</v>
      </c>
      <c r="I7" s="3425" t="s">
        <v>270</v>
      </c>
      <c r="X7" s="3434"/>
    </row>
    <row r="8" ht="14.4" spans="1:24">
      <c r="A8" s="1780" t="s">
        <v>271</v>
      </c>
      <c r="B8" s="2612" t="s">
        <v>272</v>
      </c>
      <c r="C8" s="3430" t="s">
        <v>273</v>
      </c>
      <c r="F8" s="3425" t="s">
        <v>274</v>
      </c>
      <c r="H8" s="3425" t="s">
        <v>275</v>
      </c>
      <c r="I8" s="3425" t="s">
        <v>276</v>
      </c>
      <c r="X8" s="3434"/>
    </row>
    <row r="9" ht="14.4" spans="1:8">
      <c r="A9" s="1780" t="s">
        <v>277</v>
      </c>
      <c r="B9" s="1780" t="s">
        <v>278</v>
      </c>
      <c r="C9" s="3430" t="s">
        <v>279</v>
      </c>
      <c r="F9" s="3425" t="s">
        <v>157</v>
      </c>
      <c r="H9" s="3425" t="s">
        <v>280</v>
      </c>
    </row>
    <row r="10" ht="14.4" spans="1:6">
      <c r="A10" s="1780" t="s">
        <v>281</v>
      </c>
      <c r="B10" s="1780" t="s">
        <v>282</v>
      </c>
      <c r="C10" s="3430" t="s">
        <v>283</v>
      </c>
      <c r="F10" s="3425" t="s">
        <v>121</v>
      </c>
    </row>
    <row r="11" ht="14.4" spans="1:3">
      <c r="A11" s="1780" t="s">
        <v>284</v>
      </c>
      <c r="B11" s="1780" t="s">
        <v>285</v>
      </c>
      <c r="C11" s="3430" t="s">
        <v>286</v>
      </c>
    </row>
    <row r="12" ht="14.4" spans="1:3">
      <c r="A12" s="1780" t="s">
        <v>287</v>
      </c>
      <c r="B12" s="1780" t="s">
        <v>288</v>
      </c>
      <c r="C12" s="3430" t="s">
        <v>289</v>
      </c>
    </row>
    <row r="13" ht="14.4" spans="1:3">
      <c r="A13" s="1780" t="s">
        <v>290</v>
      </c>
      <c r="B13" s="1780" t="s">
        <v>291</v>
      </c>
      <c r="C13" s="3430" t="s">
        <v>292</v>
      </c>
    </row>
    <row r="14" ht="14.4" spans="1:3">
      <c r="A14" s="1780" t="s">
        <v>293</v>
      </c>
      <c r="B14" s="1780" t="s">
        <v>294</v>
      </c>
      <c r="C14" s="3430"/>
    </row>
    <row r="15" ht="14.4" spans="1:3">
      <c r="A15" s="1780" t="s">
        <v>295</v>
      </c>
      <c r="B15" s="1780" t="s">
        <v>296</v>
      </c>
      <c r="C15" s="3430"/>
    </row>
    <row r="16" ht="14.4" spans="1:3">
      <c r="A16" s="1780" t="s">
        <v>297</v>
      </c>
      <c r="B16" s="1780" t="s">
        <v>298</v>
      </c>
      <c r="C16" s="3430"/>
    </row>
    <row r="17" ht="14.4" spans="1:3">
      <c r="A17" s="1780" t="s">
        <v>299</v>
      </c>
      <c r="B17" s="1780" t="s">
        <v>300</v>
      </c>
      <c r="C17" s="3430"/>
    </row>
    <row r="18" ht="14.4" spans="1:3">
      <c r="A18" s="1780" t="s">
        <v>301</v>
      </c>
      <c r="B18" s="1780" t="s">
        <v>302</v>
      </c>
      <c r="C18" s="3430"/>
    </row>
    <row r="19" ht="14.4" spans="1:3">
      <c r="A19" s="1780" t="s">
        <v>303</v>
      </c>
      <c r="B19" s="1780" t="s">
        <v>304</v>
      </c>
      <c r="C19" s="3430"/>
    </row>
    <row r="20" ht="14.4" spans="1:3">
      <c r="A20" s="1780" t="s">
        <v>305</v>
      </c>
      <c r="B20" s="1780" t="s">
        <v>306</v>
      </c>
      <c r="C20" s="3430"/>
    </row>
    <row r="21" ht="14.4" spans="1:3">
      <c r="A21" s="1780" t="s">
        <v>255</v>
      </c>
      <c r="B21" s="1780" t="s">
        <v>307</v>
      </c>
      <c r="C21" s="3430"/>
    </row>
    <row r="22" ht="14.4" spans="1:3">
      <c r="A22" s="1780" t="s">
        <v>308</v>
      </c>
      <c r="B22" s="1780" t="s">
        <v>307</v>
      </c>
      <c r="C22" s="3430"/>
    </row>
    <row r="23" ht="14.4" spans="1:3">
      <c r="A23" s="1780" t="s">
        <v>309</v>
      </c>
      <c r="B23" s="1780" t="s">
        <v>307</v>
      </c>
      <c r="C23" s="3430"/>
    </row>
    <row r="24" ht="14.4" spans="1:3">
      <c r="A24" s="1780" t="s">
        <v>310</v>
      </c>
      <c r="B24" s="1780" t="s">
        <v>307</v>
      </c>
      <c r="C24" s="3430"/>
    </row>
    <row r="25" ht="14.4" spans="1:3">
      <c r="A25" s="1780" t="s">
        <v>311</v>
      </c>
      <c r="B25" s="1780" t="s">
        <v>307</v>
      </c>
      <c r="C25" s="3430"/>
    </row>
    <row r="26" ht="14.4" spans="1:3">
      <c r="A26" s="1780" t="s">
        <v>312</v>
      </c>
      <c r="B26" s="1780" t="s">
        <v>307</v>
      </c>
      <c r="C26" s="3430"/>
    </row>
    <row r="27" spans="1:3">
      <c r="A27" s="1780" t="s">
        <v>307</v>
      </c>
      <c r="B27" s="1780" t="s">
        <v>307</v>
      </c>
      <c r="C27" s="3430"/>
    </row>
    <row r="28" spans="1:3">
      <c r="A28" s="1780" t="s">
        <v>307</v>
      </c>
      <c r="B28" s="1780" t="s">
        <v>307</v>
      </c>
      <c r="C28" s="3430"/>
    </row>
    <row r="29" spans="1:3">
      <c r="A29" s="1780" t="s">
        <v>307</v>
      </c>
      <c r="B29" s="1780" t="s">
        <v>307</v>
      </c>
      <c r="C29" s="3430"/>
    </row>
    <row r="30" spans="1:3">
      <c r="A30" s="1780" t="s">
        <v>307</v>
      </c>
      <c r="B30" s="1780" t="s">
        <v>307</v>
      </c>
      <c r="C30" s="3430"/>
    </row>
    <row r="31" spans="1:3">
      <c r="A31" s="1780" t="s">
        <v>307</v>
      </c>
      <c r="B31" s="1780" t="s">
        <v>307</v>
      </c>
      <c r="C31" s="3430"/>
    </row>
    <row r="32" spans="1:3">
      <c r="A32" s="1780" t="s">
        <v>307</v>
      </c>
      <c r="B32" s="1780" t="s">
        <v>307</v>
      </c>
      <c r="C32" s="3430"/>
    </row>
    <row r="33" spans="1:3">
      <c r="A33" s="1780" t="s">
        <v>307</v>
      </c>
      <c r="B33" s="1780" t="s">
        <v>307</v>
      </c>
      <c r="C33" s="3430"/>
    </row>
    <row r="34" spans="1:3">
      <c r="A34" s="1780" t="s">
        <v>307</v>
      </c>
      <c r="B34" s="1780" t="s">
        <v>307</v>
      </c>
      <c r="C34" s="3430"/>
    </row>
    <row r="35" spans="1:3">
      <c r="A35" s="1780" t="s">
        <v>307</v>
      </c>
      <c r="B35" s="1780" t="s">
        <v>307</v>
      </c>
      <c r="C35" s="3430"/>
    </row>
    <row r="36" spans="1:3">
      <c r="A36" s="1780" t="s">
        <v>307</v>
      </c>
      <c r="B36" s="1780" t="s">
        <v>307</v>
      </c>
      <c r="C36" s="3430"/>
    </row>
    <row r="37" spans="1:3">
      <c r="A37" s="1780" t="s">
        <v>307</v>
      </c>
      <c r="B37" s="1780" t="s">
        <v>307</v>
      </c>
      <c r="C37" s="3430"/>
    </row>
    <row r="38" spans="1:3">
      <c r="A38" s="1780" t="s">
        <v>307</v>
      </c>
      <c r="B38" s="1780" t="s">
        <v>307</v>
      </c>
      <c r="C38" s="3430"/>
    </row>
    <row r="39" spans="1:3">
      <c r="A39" s="1780" t="s">
        <v>307</v>
      </c>
      <c r="B39" s="1780" t="s">
        <v>307</v>
      </c>
      <c r="C39" s="3430"/>
    </row>
    <row r="40" spans="1:3">
      <c r="A40" s="1780" t="s">
        <v>307</v>
      </c>
      <c r="B40" s="1780" t="s">
        <v>307</v>
      </c>
      <c r="C40" s="3430"/>
    </row>
    <row r="41" spans="1:3">
      <c r="A41" s="1780" t="s">
        <v>307</v>
      </c>
      <c r="B41" s="1780" t="s">
        <v>307</v>
      </c>
      <c r="C41" s="3430"/>
    </row>
    <row r="42" spans="1:3">
      <c r="A42" s="1780" t="s">
        <v>307</v>
      </c>
      <c r="B42" s="1780" t="s">
        <v>307</v>
      </c>
      <c r="C42" s="3430"/>
    </row>
    <row r="43" spans="1:3">
      <c r="A43" s="1780" t="s">
        <v>307</v>
      </c>
      <c r="B43" s="1780" t="s">
        <v>307</v>
      </c>
      <c r="C43" s="3430"/>
    </row>
    <row r="44" spans="1:3">
      <c r="A44" s="1780" t="s">
        <v>307</v>
      </c>
      <c r="B44" s="1780" t="s">
        <v>307</v>
      </c>
      <c r="C44" s="3430"/>
    </row>
    <row r="45" spans="1:3">
      <c r="A45" s="1780" t="s">
        <v>307</v>
      </c>
      <c r="B45" s="1780" t="s">
        <v>307</v>
      </c>
      <c r="C45" s="3430"/>
    </row>
    <row r="46" spans="1:3">
      <c r="A46" s="1780" t="s">
        <v>307</v>
      </c>
      <c r="B46" s="1780" t="s">
        <v>307</v>
      </c>
      <c r="C46" s="3430"/>
    </row>
    <row r="47" spans="1:3">
      <c r="A47" s="1780" t="s">
        <v>307</v>
      </c>
      <c r="B47" s="1780" t="s">
        <v>307</v>
      </c>
      <c r="C47" s="3430"/>
    </row>
    <row r="48" spans="1:3">
      <c r="A48" s="1780" t="s">
        <v>307</v>
      </c>
      <c r="B48" s="1780" t="s">
        <v>307</v>
      </c>
      <c r="C48" s="3430"/>
    </row>
    <row r="49" spans="1:3">
      <c r="A49" s="1780" t="s">
        <v>307</v>
      </c>
      <c r="B49" s="1780" t="s">
        <v>307</v>
      </c>
      <c r="C49" s="3430"/>
    </row>
    <row r="50" spans="1:3">
      <c r="A50" s="1780" t="s">
        <v>307</v>
      </c>
      <c r="B50" s="1780"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2022-11-28T06:05:49Z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