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12西城区人民法院-崔建\翠林一里2号楼1705\"/>
    </mc:Choice>
  </mc:AlternateContent>
  <xr:revisionPtr revIDLastSave="0" documentId="13_ncr:1_{91BAA7D1-34E3-46C3-B743-A0834FD81A32}" xr6:coauthVersionLast="45" xr6:coauthVersionMax="45" xr10:uidLastSave="{00000000-0000-0000-0000-000000000000}"/>
  <bookViews>
    <workbookView xWindow="-13380" yWindow="210" windowWidth="21600" windowHeight="129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9" l="1"/>
  <c r="B27" i="9"/>
  <c r="M21" i="80" l="1"/>
  <c r="M22" i="80"/>
  <c r="M23" i="80"/>
  <c r="M20" i="80"/>
  <c r="M24" i="80" s="1"/>
  <c r="M25" i="80" s="1"/>
  <c r="D33" i="43"/>
  <c r="C79" i="43"/>
  <c r="C76" i="43"/>
  <c r="C73" i="43"/>
  <c r="C72" i="43"/>
  <c r="I33" i="21"/>
  <c r="G33" i="21"/>
  <c r="E33" i="21"/>
  <c r="I47" i="21"/>
  <c r="G47" i="21"/>
  <c r="E47" i="21"/>
  <c r="I5" i="21"/>
  <c r="G5" i="21"/>
  <c r="E5" i="21"/>
  <c r="G1" i="69"/>
  <c r="Y6" i="1"/>
  <c r="F19" i="6"/>
  <c r="D3" i="4"/>
  <c r="A7" i="1"/>
  <c r="B7" i="1" s="1"/>
  <c r="E7" i="1" s="1"/>
  <c r="A8" i="1"/>
  <c r="B8" i="1"/>
  <c r="E8" i="1" s="1"/>
  <c r="A9" i="1"/>
  <c r="B9" i="1" s="1"/>
  <c r="E9" i="1" s="1"/>
  <c r="A10" i="1"/>
  <c r="B10" i="1"/>
  <c r="E10" i="1" s="1"/>
  <c r="A11" i="1"/>
  <c r="B11" i="1" s="1"/>
  <c r="E11" i="1" s="1"/>
  <c r="A12" i="1"/>
  <c r="B12" i="1"/>
  <c r="E12" i="1" s="1"/>
  <c r="A13" i="1"/>
  <c r="B13" i="1" s="1"/>
  <c r="E13" i="1" s="1"/>
  <c r="A6" i="1"/>
  <c r="B6" i="1"/>
  <c r="E6" i="1" s="1"/>
  <c r="M26" i="79"/>
  <c r="M27" i="79"/>
  <c r="P27" i="79" s="1"/>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s="1"/>
  <c r="C8" i="74" s="1"/>
  <c r="B7" i="74"/>
  <c r="E109" i="9"/>
  <c r="H109" i="9" s="1"/>
  <c r="H110" i="9"/>
  <c r="C7" i="74" s="1"/>
  <c r="B3" i="78"/>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D23" i="77" s="1"/>
  <c r="D9" i="77"/>
  <c r="D10" i="77"/>
  <c r="D12" i="77"/>
  <c r="D14" i="77"/>
  <c r="D15" i="77"/>
  <c r="D16" i="77"/>
  <c r="D17" i="77"/>
  <c r="C30" i="77"/>
  <c r="C29" i="77"/>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I30" i="79"/>
  <c r="AD30" i="79" s="1"/>
  <c r="AB29" i="79"/>
  <c r="AA29" i="79"/>
  <c r="Z29" i="79"/>
  <c r="N29" i="79"/>
  <c r="M29" i="79"/>
  <c r="L29" i="79"/>
  <c r="I29" i="79"/>
  <c r="AB25" i="79"/>
  <c r="AB23" i="79" s="1"/>
  <c r="AA25" i="79"/>
  <c r="Z25" i="79"/>
  <c r="Z23" i="79" s="1"/>
  <c r="N25" i="79"/>
  <c r="M25" i="79"/>
  <c r="L25" i="79"/>
  <c r="I25" i="79"/>
  <c r="AD25" i="79" s="1"/>
  <c r="AA23" i="79"/>
  <c r="AD23" i="79" s="1"/>
  <c r="U23" i="79"/>
  <c r="M23" i="79"/>
  <c r="P23" i="79" s="1"/>
  <c r="G23" i="79"/>
  <c r="F23" i="79"/>
  <c r="I23" i="79" s="1"/>
  <c r="E23" i="79"/>
  <c r="AC16" i="79"/>
  <c r="AB16" i="79"/>
  <c r="AA16" i="79"/>
  <c r="AD16" i="79"/>
  <c r="Z16" i="79"/>
  <c r="Y16" i="79"/>
  <c r="W16" i="79"/>
  <c r="M16" i="79"/>
  <c r="P16" i="79" s="1"/>
  <c r="O16" i="79"/>
  <c r="N16" i="79"/>
  <c r="L16" i="79"/>
  <c r="K16" i="79"/>
  <c r="I16" i="79"/>
  <c r="AC15" i="79"/>
  <c r="AB15" i="79"/>
  <c r="AA15" i="79"/>
  <c r="AD15" i="79"/>
  <c r="Z15" i="79"/>
  <c r="Y15" i="79"/>
  <c r="O15" i="79"/>
  <c r="V15" i="79" s="1"/>
  <c r="N15" i="79"/>
  <c r="U15" i="79" s="1"/>
  <c r="M15" i="79"/>
  <c r="T15" i="79" s="1"/>
  <c r="W15" i="79" s="1"/>
  <c r="P15" i="79"/>
  <c r="L15" i="79"/>
  <c r="S15" i="79" s="1"/>
  <c r="K15" i="79"/>
  <c r="R15" i="79" s="1"/>
  <c r="I15" i="79"/>
  <c r="AA14" i="79"/>
  <c r="AD14" i="79"/>
  <c r="AC14" i="79"/>
  <c r="AB14" i="79"/>
  <c r="Z14" i="79"/>
  <c r="Y14" i="79"/>
  <c r="O14" i="79"/>
  <c r="V14" i="79" s="1"/>
  <c r="N14" i="79"/>
  <c r="U14" i="79" s="1"/>
  <c r="M14" i="79"/>
  <c r="T14" i="79" s="1"/>
  <c r="W14" i="79" s="1"/>
  <c r="L14" i="79"/>
  <c r="S14" i="79" s="1"/>
  <c r="K14" i="79"/>
  <c r="R14" i="79"/>
  <c r="I14" i="79"/>
  <c r="AC13" i="79"/>
  <c r="AB13" i="79"/>
  <c r="AA13" i="79"/>
  <c r="AD13" i="79" s="1"/>
  <c r="Z13" i="79"/>
  <c r="Y13" i="79"/>
  <c r="O13" i="79"/>
  <c r="V13" i="79" s="1"/>
  <c r="N13" i="79"/>
  <c r="U13" i="79" s="1"/>
  <c r="M13" i="79"/>
  <c r="L13" i="79"/>
  <c r="S13" i="79" s="1"/>
  <c r="K13" i="79"/>
  <c r="R13" i="79"/>
  <c r="I13" i="79"/>
  <c r="AA12" i="79"/>
  <c r="AD12" i="79" s="1"/>
  <c r="AC12" i="79"/>
  <c r="AB12" i="79"/>
  <c r="Z12" i="79"/>
  <c r="Y12" i="79"/>
  <c r="O12" i="79"/>
  <c r="V12" i="79" s="1"/>
  <c r="N12" i="79"/>
  <c r="U12" i="79" s="1"/>
  <c r="M12" i="79"/>
  <c r="T12" i="79" s="1"/>
  <c r="W12" i="79" s="1"/>
  <c r="L12" i="79"/>
  <c r="S12" i="79" s="1"/>
  <c r="K12" i="79"/>
  <c r="R12" i="79" s="1"/>
  <c r="I12" i="79"/>
  <c r="AC11" i="79"/>
  <c r="AB11" i="79"/>
  <c r="AB3" i="79" s="1"/>
  <c r="AA11" i="79"/>
  <c r="AD11" i="79"/>
  <c r="Z11" i="79"/>
  <c r="Y11" i="79"/>
  <c r="Y3" i="79" s="1"/>
  <c r="O11" i="79"/>
  <c r="V11" i="79" s="1"/>
  <c r="N11" i="79"/>
  <c r="U11" i="79" s="1"/>
  <c r="M11" i="79"/>
  <c r="T11" i="79" s="1"/>
  <c r="W11" i="79" s="1"/>
  <c r="P11" i="79"/>
  <c r="L11" i="79"/>
  <c r="K11" i="79"/>
  <c r="R11" i="79" s="1"/>
  <c r="I11" i="79"/>
  <c r="AC10" i="79"/>
  <c r="AB10" i="79"/>
  <c r="AA10" i="79"/>
  <c r="AD10" i="79"/>
  <c r="Z10" i="79"/>
  <c r="Y10" i="79"/>
  <c r="O10" i="79"/>
  <c r="V10" i="79" s="1"/>
  <c r="N10" i="79"/>
  <c r="M10" i="79"/>
  <c r="T10" i="79" s="1"/>
  <c r="W10" i="79" s="1"/>
  <c r="L10" i="79"/>
  <c r="K10" i="79"/>
  <c r="I10" i="79"/>
  <c r="AC9" i="79"/>
  <c r="AB9" i="79"/>
  <c r="AA9" i="79"/>
  <c r="AD9" i="79" s="1"/>
  <c r="Z9" i="79"/>
  <c r="Y9" i="79"/>
  <c r="O9" i="79"/>
  <c r="V9" i="79" s="1"/>
  <c r="N9" i="79"/>
  <c r="M9" i="79"/>
  <c r="L9" i="79"/>
  <c r="K9" i="79"/>
  <c r="I9" i="79"/>
  <c r="AC5" i="79"/>
  <c r="AC3" i="79" s="1"/>
  <c r="AB5" i="79"/>
  <c r="AA5" i="79"/>
  <c r="Z5" i="79"/>
  <c r="Y5" i="79"/>
  <c r="M5" i="79"/>
  <c r="O5" i="79"/>
  <c r="N5" i="79"/>
  <c r="L5" i="79"/>
  <c r="S3" i="79" s="1"/>
  <c r="K5" i="79"/>
  <c r="I5" i="79"/>
  <c r="U3" i="79"/>
  <c r="O3" i="79"/>
  <c r="L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E21" i="43" s="1"/>
  <c r="B17" i="45"/>
  <c r="I15" i="4"/>
  <c r="F10" i="1"/>
  <c r="K47" i="78"/>
  <c r="K46" i="78"/>
  <c r="K45" i="78"/>
  <c r="K41" i="78"/>
  <c r="K40" i="78"/>
  <c r="K39" i="78"/>
  <c r="K38" i="78"/>
  <c r="K37" i="78"/>
  <c r="K36" i="78"/>
  <c r="K35" i="78"/>
  <c r="K23" i="78"/>
  <c r="K24" i="78"/>
  <c r="K25" i="78"/>
  <c r="K26" i="78"/>
  <c r="K27" i="78"/>
  <c r="K28" i="78"/>
  <c r="K29" i="78"/>
  <c r="K30" i="78"/>
  <c r="K22" i="78"/>
  <c r="T28" i="79"/>
  <c r="W28" i="79" s="1"/>
  <c r="S28" i="79"/>
  <c r="U29" i="79"/>
  <c r="U27" i="79"/>
  <c r="U28" i="79"/>
  <c r="R8" i="79"/>
  <c r="T6" i="79"/>
  <c r="W6" i="79" s="1"/>
  <c r="T8" i="79"/>
  <c r="W8" i="79" s="1"/>
  <c r="V7" i="79"/>
  <c r="S5" i="79"/>
  <c r="U8" i="79"/>
  <c r="P12" i="79"/>
  <c r="P14" i="79"/>
  <c r="U25" i="79"/>
  <c r="T30" i="79"/>
  <c r="W30"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0" i="79"/>
  <c r="P32" i="79"/>
  <c r="P34" i="79"/>
  <c r="P31" i="79"/>
  <c r="P33" i="79"/>
  <c r="P35" i="79"/>
  <c r="E25" i="78"/>
  <c r="E24" i="78"/>
  <c r="F23" i="78"/>
  <c r="F24" i="78"/>
  <c r="F25" i="78" s="1"/>
  <c r="G25" i="78" s="1"/>
  <c r="E23" i="78"/>
  <c r="G23" i="78" s="1"/>
  <c r="E22" i="78"/>
  <c r="G22" i="78"/>
  <c r="F12" i="78"/>
  <c r="F11" i="78"/>
  <c r="C15" i="78" s="1"/>
  <c r="C18"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14" i="77" s="1"/>
  <c r="R4" i="77"/>
  <c r="R3" i="77"/>
  <c r="R24" i="77"/>
  <c r="AH9" i="71"/>
  <c r="AG9" i="71"/>
  <c r="AE9" i="71"/>
  <c r="AF9" i="71"/>
  <c r="AD9" i="71"/>
  <c r="Q9" i="71"/>
  <c r="AB9" i="71" s="1"/>
  <c r="P9" i="71"/>
  <c r="O9" i="71"/>
  <c r="Y9" i="71" s="1"/>
  <c r="Z9" i="71" s="1"/>
  <c r="N9" i="71"/>
  <c r="R19" i="77"/>
  <c r="AH10" i="71"/>
  <c r="AG10" i="71"/>
  <c r="AE10" i="71"/>
  <c r="AF10" i="71" s="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AA10" i="71" s="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Y12" i="71" s="1"/>
  <c r="Z12" i="71" s="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N10" i="71"/>
  <c r="N11" i="71"/>
  <c r="X9" i="71" s="1"/>
  <c r="N12" i="71"/>
  <c r="N13" i="71"/>
  <c r="X12" i="71" s="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E24" i="71"/>
  <c r="E23" i="71" s="1"/>
  <c r="E22" i="71" s="1"/>
  <c r="E21" i="71" s="1"/>
  <c r="E20" i="71" s="1"/>
  <c r="E19" i="71" s="1"/>
  <c r="E18" i="71" s="1"/>
  <c r="E17" i="71" s="1"/>
  <c r="E16" i="71" s="1"/>
  <c r="C24" i="71"/>
  <c r="C23" i="71" s="1"/>
  <c r="C22" i="71" s="1"/>
  <c r="C21" i="71" s="1"/>
  <c r="C20" i="71" s="1"/>
  <c r="C19" i="71" s="1"/>
  <c r="C18" i="71" s="1"/>
  <c r="C17" i="71" s="1"/>
  <c r="B24" i="71"/>
  <c r="B23" i="71"/>
  <c r="B22" i="71" s="1"/>
  <c r="B21" i="71" s="1"/>
  <c r="B20" i="71" s="1"/>
  <c r="B19" i="71" s="1"/>
  <c r="B18" i="71" s="1"/>
  <c r="B17" i="71" s="1"/>
  <c r="B16" i="71" s="1"/>
  <c r="E24" i="43"/>
  <c r="Q32" i="43"/>
  <c r="P32" i="43"/>
  <c r="O32" i="43"/>
  <c r="N32" i="43"/>
  <c r="M32" i="43"/>
  <c r="AH11" i="71"/>
  <c r="AG11" i="71"/>
  <c r="AE11" i="71"/>
  <c r="AF11" i="71"/>
  <c r="AD11" i="71"/>
  <c r="AB10" i="71"/>
  <c r="Y10" i="71"/>
  <c r="Z10" i="71" s="1"/>
  <c r="X10" i="71"/>
  <c r="AH12" i="71"/>
  <c r="AG12" i="71"/>
  <c r="AE12" i="71"/>
  <c r="AF12" i="71"/>
  <c r="AD12" i="71"/>
  <c r="AH13" i="71"/>
  <c r="AG13" i="71"/>
  <c r="AE13" i="71"/>
  <c r="AF13" i="71" s="1"/>
  <c r="AD13" i="71"/>
  <c r="AB12" i="71"/>
  <c r="AA12" i="71"/>
  <c r="AB11" i="71"/>
  <c r="AA11" i="71"/>
  <c r="Y11" i="71"/>
  <c r="Z11" i="71" s="1"/>
  <c r="X11" i="71"/>
  <c r="H16" i="49"/>
  <c r="D16" i="49"/>
  <c r="D15" i="49"/>
  <c r="B2" i="49"/>
  <c r="K42" i="40"/>
  <c r="K47" i="39"/>
  <c r="K36" i="36"/>
  <c r="E59" i="9"/>
  <c r="K38" i="35"/>
  <c r="K42" i="37"/>
  <c r="K49" i="34"/>
  <c r="K48" i="33"/>
  <c r="K48" i="21"/>
  <c r="H104" i="9"/>
  <c r="F59" i="9"/>
  <c r="AH14" i="71"/>
  <c r="AG14" i="71"/>
  <c r="AE14" i="71"/>
  <c r="AF14" i="71" s="1"/>
  <c r="AD14" i="71"/>
  <c r="AB13" i="71"/>
  <c r="AA13" i="71"/>
  <c r="Y13" i="71"/>
  <c r="Z13" i="71"/>
  <c r="X13" i="7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D42" i="71"/>
  <c r="C47" i="71"/>
  <c r="D47" i="71" s="1"/>
  <c r="D46" i="71"/>
  <c r="C51" i="71"/>
  <c r="D50" i="71"/>
  <c r="E56" i="71"/>
  <c r="U56" i="71" s="1"/>
  <c r="E59" i="71"/>
  <c r="E60" i="71" s="1"/>
  <c r="U60" i="71"/>
  <c r="Q65" i="71"/>
  <c r="U68" i="71"/>
  <c r="E67" i="71"/>
  <c r="P67" i="71" s="1"/>
  <c r="C55" i="71"/>
  <c r="D54" i="71"/>
  <c r="C59" i="71"/>
  <c r="D58"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F28" i="71"/>
  <c r="F27" i="71" s="1"/>
  <c r="F26" i="71" s="1"/>
  <c r="AB25" i="71"/>
  <c r="AB26" i="71"/>
  <c r="AB27" i="71"/>
  <c r="AB28" i="71"/>
  <c r="E28" i="71"/>
  <c r="E27" i="71"/>
  <c r="E26" i="71" s="1"/>
  <c r="AA3" i="71"/>
  <c r="AA25" i="71"/>
  <c r="AA26" i="71"/>
  <c r="AA27" i="71"/>
  <c r="AA28" i="71"/>
  <c r="D28" i="71"/>
  <c r="U28" i="71"/>
  <c r="C66" i="71"/>
  <c r="O67" i="71"/>
  <c r="D67" i="71"/>
  <c r="C64" i="71"/>
  <c r="D64" i="71" s="1"/>
  <c r="D83" i="71"/>
  <c r="C82" i="71"/>
  <c r="D82" i="71"/>
  <c r="D75" i="71"/>
  <c r="C74" i="71"/>
  <c r="D74" i="71" s="1"/>
  <c r="D87" i="71"/>
  <c r="D86" i="71"/>
  <c r="D79" i="71"/>
  <c r="C78" i="71"/>
  <c r="D78" i="71" s="1"/>
  <c r="D71" i="71"/>
  <c r="C70" i="71"/>
  <c r="D70" i="71"/>
  <c r="C60" i="71"/>
  <c r="D59" i="71"/>
  <c r="C56" i="71"/>
  <c r="D55" i="71"/>
  <c r="E66" i="71"/>
  <c r="P65" i="71" s="1"/>
  <c r="C52" i="71"/>
  <c r="D51" i="71"/>
  <c r="D39" i="71"/>
  <c r="C36" i="71"/>
  <c r="D35" i="71"/>
  <c r="C32" i="71"/>
  <c r="D31" i="71"/>
  <c r="V28" i="71"/>
  <c r="O66" i="71"/>
  <c r="D66" i="71"/>
  <c r="O65" i="71"/>
  <c r="T32" i="71"/>
  <c r="D32" i="71"/>
  <c r="T36" i="71"/>
  <c r="D36" i="71"/>
  <c r="T40" i="71"/>
  <c r="T44"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H25" i="40"/>
  <c r="J25" i="40"/>
  <c r="AC25" i="40" s="1"/>
  <c r="H29" i="39"/>
  <c r="AB29" i="39"/>
  <c r="J29" i="39"/>
  <c r="AC29" i="39"/>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F20" i="68"/>
  <c r="F39" i="68"/>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B487" i="3"/>
  <c r="BC487" i="3"/>
  <c r="BD487" i="3"/>
  <c r="BE487" i="3"/>
  <c r="BF487" i="3"/>
  <c r="BG487" i="3"/>
  <c r="BH487" i="3"/>
  <c r="BI487" i="3"/>
  <c r="BJ487" i="3"/>
  <c r="BK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B481" i="3"/>
  <c r="BC481" i="3"/>
  <c r="BD481" i="3"/>
  <c r="BE481" i="3"/>
  <c r="BF481" i="3"/>
  <c r="BG481" i="3"/>
  <c r="BH481" i="3"/>
  <c r="BI481" i="3"/>
  <c r="BJ481" i="3"/>
  <c r="BK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B477" i="3"/>
  <c r="BC477" i="3"/>
  <c r="BD477" i="3"/>
  <c r="BE477" i="3"/>
  <c r="BF477" i="3"/>
  <c r="BG477" i="3"/>
  <c r="BH477" i="3"/>
  <c r="BI477" i="3"/>
  <c r="BJ477" i="3"/>
  <c r="BK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B469" i="3"/>
  <c r="BC469" i="3"/>
  <c r="BA469" i="3" s="1"/>
  <c r="AZ469" i="3" s="1"/>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B454" i="3"/>
  <c r="BC454" i="3"/>
  <c r="BD454" i="3"/>
  <c r="BE454" i="3"/>
  <c r="BF454" i="3"/>
  <c r="BG454" i="3"/>
  <c r="BH454" i="3"/>
  <c r="BI454" i="3"/>
  <c r="BJ454" i="3"/>
  <c r="BK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s="1"/>
  <c r="B13" i="53"/>
  <c r="B29" i="72" s="1"/>
  <c r="R35" i="4"/>
  <c r="Q35" i="4"/>
  <c r="P35" i="4"/>
  <c r="O35" i="4"/>
  <c r="N35" i="4"/>
  <c r="M35" i="4"/>
  <c r="L35" i="4"/>
  <c r="K34" i="4"/>
  <c r="T34" i="4"/>
  <c r="G13" i="1"/>
  <c r="H15" i="4"/>
  <c r="F9" i="1"/>
  <c r="G9" i="1"/>
  <c r="G15" i="4"/>
  <c r="F12" i="1"/>
  <c r="G12" i="1" s="1"/>
  <c r="F15" i="4"/>
  <c r="F11" i="1"/>
  <c r="G11" i="1" s="1"/>
  <c r="D15" i="4"/>
  <c r="F7" i="1"/>
  <c r="G7" i="1"/>
  <c r="C15" i="4"/>
  <c r="F6" i="1" s="1"/>
  <c r="I24" i="43" s="1"/>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s="1"/>
  <c r="F31" i="39"/>
  <c r="AA31" i="39" s="1"/>
  <c r="E100" i="39"/>
  <c r="H19" i="39"/>
  <c r="AB19" i="39"/>
  <c r="F19" i="39"/>
  <c r="AA19" i="39"/>
  <c r="H17" i="39"/>
  <c r="AB17" i="39"/>
  <c r="F17" i="39"/>
  <c r="AA17" i="39"/>
  <c r="J23" i="40"/>
  <c r="AC23" i="40"/>
  <c r="F21" i="40"/>
  <c r="AA21" i="40"/>
  <c r="J21" i="40"/>
  <c r="W21" i="40"/>
  <c r="H42" i="39"/>
  <c r="AB42" i="39"/>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F14" i="35"/>
  <c r="AA14" i="35"/>
  <c r="F23" i="35"/>
  <c r="AA23" i="35"/>
  <c r="J32" i="35"/>
  <c r="AC32" i="35"/>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AC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26" i="33"/>
  <c r="AB30" i="21"/>
  <c r="AA14" i="37"/>
  <c r="W31" i="34"/>
  <c r="W13"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U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c r="G29" i="6"/>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F30" i="6" s="1"/>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J51" i="67"/>
  <c r="C42" i="1"/>
  <c r="C31" i="12" s="1"/>
  <c r="AC34" i="33"/>
  <c r="AA34" i="33"/>
  <c r="B41" i="1"/>
  <c r="F48" i="9"/>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F17" i="37"/>
  <c r="AA17" i="37" s="1"/>
  <c r="AB17" i="37"/>
  <c r="F75" i="37"/>
  <c r="F19" i="37"/>
  <c r="S19" i="37" s="1"/>
  <c r="F79" i="37"/>
  <c r="F23" i="37"/>
  <c r="S23" i="37" s="1"/>
  <c r="U23" i="37"/>
  <c r="U15" i="37"/>
  <c r="AC13" i="37"/>
  <c r="AA13" i="37"/>
  <c r="H10" i="37"/>
  <c r="AB10" i="37" s="1"/>
  <c r="F63" i="37"/>
  <c r="F11" i="37"/>
  <c r="S11" i="37"/>
  <c r="S27" i="34"/>
  <c r="W25" i="34"/>
  <c r="AB8" i="34"/>
  <c r="AA33" i="34"/>
  <c r="U43" i="34"/>
  <c r="W41" i="34"/>
  <c r="AC42" i="34"/>
  <c r="AB35" i="34"/>
  <c r="U39" i="34"/>
  <c r="S43" i="34"/>
  <c r="AB41" i="34"/>
  <c r="AA45" i="34"/>
  <c r="AA25" i="34"/>
  <c r="U28" i="34"/>
  <c r="S17" i="34"/>
  <c r="AA29" i="34"/>
  <c r="U27" i="34"/>
  <c r="S23" i="34"/>
  <c r="U15" i="34"/>
  <c r="S13" i="34"/>
  <c r="H10" i="34"/>
  <c r="AB10" i="34"/>
  <c r="F11" i="34"/>
  <c r="S11" i="34"/>
  <c r="W42" i="33"/>
  <c r="S27" i="33"/>
  <c r="S32" i="33"/>
  <c r="AA29" i="33"/>
  <c r="AB29" i="33"/>
  <c r="W38" i="33"/>
  <c r="H41" i="33"/>
  <c r="U42" i="33"/>
  <c r="S42" i="33"/>
  <c r="F36" i="33"/>
  <c r="AA36" i="33" s="1"/>
  <c r="G111"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25" i="33"/>
  <c r="F25" i="33"/>
  <c r="S25" i="33" s="1"/>
  <c r="J23" i="33"/>
  <c r="F85" i="33"/>
  <c r="H23" i="33"/>
  <c r="F81" i="33"/>
  <c r="G81" i="33" s="1"/>
  <c r="F19" i="33"/>
  <c r="S19" i="33"/>
  <c r="W19" i="33"/>
  <c r="J17" i="33"/>
  <c r="W17" i="33" s="1"/>
  <c r="F79" i="33"/>
  <c r="S15" i="33"/>
  <c r="W15" i="33"/>
  <c r="U9" i="33"/>
  <c r="J10" i="33"/>
  <c r="W10" i="33"/>
  <c r="H10" i="33"/>
  <c r="U10" i="33"/>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c r="M20" i="67"/>
  <c r="F34" i="15"/>
  <c r="F62" i="15" s="1"/>
  <c r="G13" i="3"/>
  <c r="G5" i="3" s="1"/>
  <c r="B3" i="3" s="1"/>
  <c r="BA13" i="3"/>
  <c r="BL17" i="3"/>
  <c r="AZ17" i="3" s="1"/>
  <c r="BL13" i="3"/>
  <c r="J56" i="9"/>
  <c r="J57" i="9" s="1"/>
  <c r="J59" i="9" s="1"/>
  <c r="J61" i="9" s="1"/>
  <c r="A24" i="51"/>
  <c r="B18" i="72" s="1"/>
  <c r="U29" i="34"/>
  <c r="E5" i="6"/>
  <c r="E32" i="6"/>
  <c r="L19" i="6" s="1"/>
  <c r="G1" i="68"/>
  <c r="K1" i="12"/>
  <c r="E19" i="69"/>
  <c r="E19" i="68"/>
  <c r="E19" i="11"/>
  <c r="E1" i="73"/>
  <c r="G22" i="69"/>
  <c r="G22" i="68"/>
  <c r="G26" i="12"/>
  <c r="G22" i="11"/>
  <c r="C6" i="43"/>
  <c r="B19" i="53"/>
  <c r="B37" i="72" s="1"/>
  <c r="C7" i="39"/>
  <c r="C67" i="39" s="1"/>
  <c r="C69" i="39" s="1"/>
  <c r="C7" i="35"/>
  <c r="C7" i="33"/>
  <c r="C7" i="21"/>
  <c r="C7" i="40"/>
  <c r="C63" i="40"/>
  <c r="D63" i="40" s="1"/>
  <c r="D65" i="40" s="1"/>
  <c r="M47" i="9"/>
  <c r="G23" i="43"/>
  <c r="C46" i="36"/>
  <c r="D46" i="36"/>
  <c r="E46" i="36" s="1"/>
  <c r="F46" i="36" s="1"/>
  <c r="G46" i="36" s="1"/>
  <c r="H46" i="36" s="1"/>
  <c r="I46" i="36" s="1"/>
  <c r="C52" i="37"/>
  <c r="D52" i="37" s="1"/>
  <c r="E52" i="37" s="1"/>
  <c r="A4" i="51"/>
  <c r="B6" i="72" s="1"/>
  <c r="C48" i="35"/>
  <c r="D48" i="35" s="1"/>
  <c r="H67" i="43"/>
  <c r="L20" i="6"/>
  <c r="K11" i="1"/>
  <c r="M11" i="1" s="1"/>
  <c r="O11" i="1"/>
  <c r="K7" i="1"/>
  <c r="M7" i="1"/>
  <c r="O7" i="1"/>
  <c r="P7" i="1"/>
  <c r="G1" i="15"/>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c r="M101" i="21" s="1"/>
  <c r="F37" i="21"/>
  <c r="AA37" i="21"/>
  <c r="AA26" i="21"/>
  <c r="AB14" i="21"/>
  <c r="AB46" i="21"/>
  <c r="U40" i="21"/>
  <c r="AB31" i="21"/>
  <c r="U31" i="21"/>
  <c r="U13" i="21"/>
  <c r="S35" i="21"/>
  <c r="J37" i="21"/>
  <c r="W37" i="21"/>
  <c r="H15" i="21"/>
  <c r="U15" i="21"/>
  <c r="J17" i="21"/>
  <c r="AC17" i="21"/>
  <c r="AC19" i="21"/>
  <c r="W39" i="21"/>
  <c r="AC14" i="21"/>
  <c r="W30" i="21"/>
  <c r="S46" i="21"/>
  <c r="H45" i="21"/>
  <c r="U45" i="21" s="1"/>
  <c r="F29" i="21"/>
  <c r="S29" i="21" s="1"/>
  <c r="F13" i="21"/>
  <c r="AA13" i="21" s="1"/>
  <c r="AC38" i="21"/>
  <c r="H32" i="21"/>
  <c r="H9" i="21"/>
  <c r="AB9" i="21" s="1"/>
  <c r="J9" i="21"/>
  <c r="J32" i="21"/>
  <c r="F32" i="21"/>
  <c r="AA32" i="21" s="1"/>
  <c r="AA31" i="21"/>
  <c r="U17" i="21"/>
  <c r="S19" i="21"/>
  <c r="S9" i="21"/>
  <c r="AA9" i="21"/>
  <c r="K141" i="21"/>
  <c r="K144" i="21"/>
  <c r="K143" i="21"/>
  <c r="U27" i="21"/>
  <c r="AB25" i="21"/>
  <c r="AB44" i="21"/>
  <c r="AA30" i="21"/>
  <c r="W13" i="21"/>
  <c r="W42" i="21"/>
  <c r="AC45" i="21"/>
  <c r="F10" i="21"/>
  <c r="AA10" i="21"/>
  <c r="K145" i="21"/>
  <c r="W17"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s="1"/>
  <c r="C4" i="4"/>
  <c r="K4" i="4" s="1"/>
  <c r="F30" i="68"/>
  <c r="F48" i="68"/>
  <c r="F30" i="11"/>
  <c r="C48" i="11"/>
  <c r="F28" i="67"/>
  <c r="C28" i="67"/>
  <c r="F31" i="12"/>
  <c r="F52" i="9"/>
  <c r="M18" i="67"/>
  <c r="F32" i="67"/>
  <c r="F60" i="67" s="1"/>
  <c r="F30" i="69"/>
  <c r="F48" i="69" s="1"/>
  <c r="F32" i="15"/>
  <c r="F60" i="15" s="1"/>
  <c r="M18" i="15"/>
  <c r="F28" i="15"/>
  <c r="AA39" i="40"/>
  <c r="S39" i="40"/>
  <c r="S12" i="33"/>
  <c r="D68" i="9"/>
  <c r="F54" i="9"/>
  <c r="J32" i="39"/>
  <c r="W32" i="39" s="1"/>
  <c r="H32" i="39"/>
  <c r="AB32" i="39"/>
  <c r="AA32" i="39"/>
  <c r="S32" i="39"/>
  <c r="AB21" i="39"/>
  <c r="U21" i="39"/>
  <c r="AA21" i="39"/>
  <c r="S21" i="39"/>
  <c r="AC17" i="37"/>
  <c r="S17" i="37"/>
  <c r="J19" i="37"/>
  <c r="G75" i="37"/>
  <c r="AA19" i="37"/>
  <c r="J23" i="37"/>
  <c r="AC23" i="37" s="1"/>
  <c r="G79" i="37"/>
  <c r="J10" i="37"/>
  <c r="W10" i="37" s="1"/>
  <c r="G63" i="37"/>
  <c r="H11" i="37"/>
  <c r="AB11" i="37"/>
  <c r="H11" i="34"/>
  <c r="J10" i="34"/>
  <c r="AB41" i="33"/>
  <c r="U41" i="33"/>
  <c r="W35" i="33"/>
  <c r="H111" i="33"/>
  <c r="I111" i="33" s="1"/>
  <c r="J111" i="33"/>
  <c r="K111" i="33" s="1"/>
  <c r="L111" i="33" s="1"/>
  <c r="M111" i="33" s="1"/>
  <c r="J36" i="33"/>
  <c r="H36" i="33"/>
  <c r="U36" i="33" s="1"/>
  <c r="S36" i="33"/>
  <c r="W32" i="33"/>
  <c r="U27" i="33"/>
  <c r="AB27" i="33"/>
  <c r="H91" i="33"/>
  <c r="I91" i="33" s="1"/>
  <c r="J91" i="33" s="1"/>
  <c r="K91" i="33" s="1"/>
  <c r="L91" i="33" s="1"/>
  <c r="M91" i="33" s="1"/>
  <c r="J27" i="33"/>
  <c r="W27" i="33" s="1"/>
  <c r="U25" i="33"/>
  <c r="AB25" i="33"/>
  <c r="AA25" i="33"/>
  <c r="H87" i="33"/>
  <c r="I87" i="33" s="1"/>
  <c r="J87" i="33"/>
  <c r="K87" i="33" s="1"/>
  <c r="L87" i="33" s="1"/>
  <c r="M87" i="33" s="1"/>
  <c r="J25" i="33"/>
  <c r="W25" i="33" s="1"/>
  <c r="AB23" i="33"/>
  <c r="U23" i="33"/>
  <c r="F23" i="33"/>
  <c r="G85" i="33"/>
  <c r="AC23" i="33"/>
  <c r="W23" i="33"/>
  <c r="AA19" i="33"/>
  <c r="H19" i="33"/>
  <c r="AB19" i="33" s="1"/>
  <c r="G79" i="33"/>
  <c r="H17" i="33"/>
  <c r="F17" i="33"/>
  <c r="AA17" i="33" s="1"/>
  <c r="AC17" i="33"/>
  <c r="S37" i="21"/>
  <c r="AA23" i="21"/>
  <c r="AB15" i="21"/>
  <c r="J23" i="21"/>
  <c r="AC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U9" i="21"/>
  <c r="S32" i="21"/>
  <c r="W9" i="21"/>
  <c r="AC9" i="21"/>
  <c r="AB32" i="21"/>
  <c r="U32" i="21"/>
  <c r="A18" i="62"/>
  <c r="B64" i="72"/>
  <c r="U32" i="39"/>
  <c r="AC32" i="39"/>
  <c r="W19" i="37"/>
  <c r="AC19" i="37"/>
  <c r="W23" i="37"/>
  <c r="H63" i="37"/>
  <c r="I63" i="37" s="1"/>
  <c r="J63" i="37"/>
  <c r="K63" i="37" s="1"/>
  <c r="L63" i="37" s="1"/>
  <c r="M63" i="37" s="1"/>
  <c r="J11" i="37"/>
  <c r="AC11" i="37" s="1"/>
  <c r="H70" i="34"/>
  <c r="I70" i="34" s="1"/>
  <c r="J70" i="34"/>
  <c r="K70" i="34" s="1"/>
  <c r="L70" i="34" s="1"/>
  <c r="M70" i="34" s="1"/>
  <c r="J11" i="34"/>
  <c r="W11" i="34" s="1"/>
  <c r="AB36" i="33"/>
  <c r="AC27" i="33"/>
  <c r="AA23" i="33"/>
  <c r="S23" i="33"/>
  <c r="U19" i="33"/>
  <c r="S17" i="33"/>
  <c r="U17" i="33"/>
  <c r="AB17" i="33"/>
  <c r="U23" i="21"/>
  <c r="AB23" i="21"/>
  <c r="W23" i="21"/>
  <c r="M49" i="9"/>
  <c r="D16" i="53"/>
  <c r="B34" i="72" s="1"/>
  <c r="D21" i="53"/>
  <c r="B39" i="72" s="1"/>
  <c r="H111" i="9"/>
  <c r="D126" i="9" s="1"/>
  <c r="AD3" i="71"/>
  <c r="J1" i="73"/>
  <c r="H69" i="43"/>
  <c r="H50" i="43"/>
  <c r="C24" i="12"/>
  <c r="D22" i="71"/>
  <c r="D23" i="71"/>
  <c r="D24" i="71"/>
  <c r="U24" i="71"/>
  <c r="S24" i="71"/>
  <c r="T24" i="71"/>
  <c r="AB22" i="71"/>
  <c r="X20" i="71"/>
  <c r="X19" i="71"/>
  <c r="AA20" i="71"/>
  <c r="AA19" i="71"/>
  <c r="X23" i="71"/>
  <c r="Z18" i="71"/>
  <c r="Y19" i="71"/>
  <c r="Z19" i="71" s="1"/>
  <c r="AB20" i="71"/>
  <c r="AB19" i="71"/>
  <c r="S20" i="71"/>
  <c r="Y20" i="71"/>
  <c r="Z20" i="71"/>
  <c r="X3" i="71"/>
  <c r="V20" i="71"/>
  <c r="D21" i="71"/>
  <c r="D18" i="71"/>
  <c r="T20" i="71"/>
  <c r="D19" i="71"/>
  <c r="D20" i="71"/>
  <c r="U20" i="71"/>
  <c r="S7" i="1"/>
  <c r="K1" i="73"/>
  <c r="AE7" i="1"/>
  <c r="L46" i="67"/>
  <c r="H83" i="43"/>
  <c r="S22" i="31"/>
  <c r="R22" i="31" s="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37"/>
  <c r="AC9" i="37"/>
  <c r="AA8" i="37"/>
  <c r="AA9" i="37"/>
  <c r="AA12" i="37"/>
  <c r="AB9" i="37"/>
  <c r="U11" i="37"/>
  <c r="U12" i="37"/>
  <c r="AC8" i="37"/>
  <c r="AB37" i="34"/>
  <c r="S9" i="34"/>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c r="I4" i="6"/>
  <c r="G3" i="43"/>
  <c r="E29" i="6"/>
  <c r="K15" i="1"/>
  <c r="G30" i="6"/>
  <c r="G31" i="6" s="1"/>
  <c r="E28" i="6"/>
  <c r="L27" i="6"/>
  <c r="M6" i="1"/>
  <c r="O6" i="1"/>
  <c r="C58" i="21"/>
  <c r="D58" i="21" s="1"/>
  <c r="C58" i="33"/>
  <c r="C59" i="34"/>
  <c r="C28" i="15"/>
  <c r="W10" i="36"/>
  <c r="U10" i="36"/>
  <c r="S10" i="36"/>
  <c r="AA10" i="35"/>
  <c r="W10" i="35"/>
  <c r="U10" i="37"/>
  <c r="S10" i="37"/>
  <c r="AC10" i="37"/>
  <c r="U10" i="34"/>
  <c r="S10" i="34"/>
  <c r="AA10" i="33"/>
  <c r="AC10" i="33"/>
  <c r="AB10" i="33"/>
  <c r="U10" i="21"/>
  <c r="S10" i="21"/>
  <c r="W10" i="21"/>
  <c r="AB27" i="36"/>
  <c r="S27" i="36"/>
  <c r="AC27" i="36"/>
  <c r="AC8" i="35"/>
  <c r="U8" i="35"/>
  <c r="H26" i="35"/>
  <c r="F26" i="35"/>
  <c r="S26" i="35" s="1"/>
  <c r="J26" i="35"/>
  <c r="W33" i="37"/>
  <c r="AA11" i="37"/>
  <c r="W34" i="34"/>
  <c r="W37" i="34"/>
  <c r="S34" i="34"/>
  <c r="AA11" i="34"/>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Q16" i="1"/>
  <c r="F27" i="11" s="1"/>
  <c r="E8" i="6"/>
  <c r="F27" i="6"/>
  <c r="E12" i="6"/>
  <c r="E57" i="40"/>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10" i="6"/>
  <c r="E13" i="6"/>
  <c r="H16" i="1"/>
  <c r="P6" i="1"/>
  <c r="C13" i="12" s="1"/>
  <c r="P11" i="1"/>
  <c r="E59" i="40"/>
  <c r="D9" i="11"/>
  <c r="C9" i="11"/>
  <c r="D19" i="12"/>
  <c r="C19" i="12" s="1"/>
  <c r="AZ13" i="3"/>
  <c r="O9" i="1"/>
  <c r="P9" i="1"/>
  <c r="O12" i="1"/>
  <c r="P12" i="1"/>
  <c r="O8" i="1"/>
  <c r="P8" i="1"/>
  <c r="H73" i="43"/>
  <c r="H90" i="43"/>
  <c r="O23" i="43"/>
  <c r="I18" i="43"/>
  <c r="E17" i="43"/>
  <c r="C17" i="43"/>
  <c r="C24" i="43"/>
  <c r="F26" i="43"/>
  <c r="G26" i="43"/>
  <c r="A1" i="79"/>
  <c r="H55" i="43"/>
  <c r="H86" i="43"/>
  <c r="H87" i="43"/>
  <c r="N370" i="46"/>
  <c r="H89" i="43"/>
  <c r="H88" i="43"/>
  <c r="H84" i="43"/>
  <c r="D67" i="39"/>
  <c r="T35" i="4"/>
  <c r="A19" i="51" s="1"/>
  <c r="B14" i="72" s="1"/>
  <c r="D18" i="53"/>
  <c r="B35" i="72"/>
  <c r="H52" i="43"/>
  <c r="K5" i="4"/>
  <c r="B47" i="48" s="1"/>
  <c r="Y8" i="71"/>
  <c r="Z8" i="71" s="1"/>
  <c r="X8" i="71"/>
  <c r="AB8" i="71"/>
  <c r="AA8" i="71"/>
  <c r="L68" i="9"/>
  <c r="M68" i="9"/>
  <c r="L65" i="9"/>
  <c r="M65" i="9"/>
  <c r="L66" i="9"/>
  <c r="M66" i="9"/>
  <c r="L64" i="9"/>
  <c r="M64" i="9"/>
  <c r="L63" i="9"/>
  <c r="M63" i="9"/>
  <c r="M69" i="9" s="1"/>
  <c r="N69" i="9"/>
  <c r="L67" i="9"/>
  <c r="M67" i="9"/>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D23" i="67"/>
  <c r="G25" i="12"/>
  <c r="G41" i="11"/>
  <c r="G27" i="12"/>
  <c r="G41" i="68"/>
  <c r="J46" i="36"/>
  <c r="F52" i="37"/>
  <c r="E48" i="35"/>
  <c r="F48" i="35" s="1"/>
  <c r="C65" i="40"/>
  <c r="D58" i="33"/>
  <c r="E58" i="33"/>
  <c r="B46" i="48"/>
  <c r="B4" i="72" s="1"/>
  <c r="B4" i="62"/>
  <c r="B71" i="72" s="1"/>
  <c r="D9" i="53"/>
  <c r="B25" i="72" s="1"/>
  <c r="B24" i="72"/>
  <c r="Y16" i="71"/>
  <c r="Z16" i="71"/>
  <c r="Y15" i="71"/>
  <c r="Z15" i="71"/>
  <c r="AA16" i="71"/>
  <c r="AB3" i="71"/>
  <c r="X16" i="71"/>
  <c r="AB16" i="71"/>
  <c r="Y3" i="71"/>
  <c r="Z3" i="71" s="1"/>
  <c r="F16" i="71"/>
  <c r="F15" i="71" s="1"/>
  <c r="F14" i="71"/>
  <c r="F13" i="71" s="1"/>
  <c r="F12" i="71" s="1"/>
  <c r="F11" i="71" s="1"/>
  <c r="F10" i="71"/>
  <c r="F9" i="71" s="1"/>
  <c r="F8" i="71" s="1"/>
  <c r="F7" i="71" s="1"/>
  <c r="F6" i="71" s="1"/>
  <c r="F5" i="71" s="1"/>
  <c r="AF3" i="71"/>
  <c r="I54" i="67"/>
  <c r="D9" i="68"/>
  <c r="C9" i="68" s="1"/>
  <c r="E61" i="43"/>
  <c r="B59" i="43" s="1"/>
  <c r="E72" i="43"/>
  <c r="B70" i="43" s="1"/>
  <c r="C28" i="43"/>
  <c r="Z7" i="43"/>
  <c r="E56" i="39"/>
  <c r="AA26" i="35"/>
  <c r="AC26" i="35"/>
  <c r="W26" i="35"/>
  <c r="AB26" i="35"/>
  <c r="U26" i="35"/>
  <c r="E61" i="39"/>
  <c r="E60" i="40"/>
  <c r="F31" i="6"/>
  <c r="E51" i="40"/>
  <c r="E16" i="6"/>
  <c r="E58" i="40"/>
  <c r="E62" i="39"/>
  <c r="D5" i="43"/>
  <c r="H10" i="39"/>
  <c r="J10" i="39"/>
  <c r="C7" i="43"/>
  <c r="C5" i="43"/>
  <c r="E63" i="40"/>
  <c r="E65" i="40" s="1"/>
  <c r="E58" i="21"/>
  <c r="P29" i="43"/>
  <c r="C32" i="67"/>
  <c r="C32" i="15"/>
  <c r="AE11" i="1"/>
  <c r="AE9" i="1"/>
  <c r="AE8" i="1"/>
  <c r="AE12" i="1"/>
  <c r="AE10" i="1"/>
  <c r="AG11" i="1"/>
  <c r="AG9" i="1"/>
  <c r="AG10" i="1"/>
  <c r="AG8" i="1"/>
  <c r="AG12" i="1"/>
  <c r="AG7" i="1"/>
  <c r="AG6" i="1"/>
  <c r="S8" i="1"/>
  <c r="E8" i="70"/>
  <c r="O14" i="1"/>
  <c r="O16" i="1"/>
  <c r="F58" i="21"/>
  <c r="F63" i="40"/>
  <c r="G48" i="35"/>
  <c r="S11" i="1"/>
  <c r="E11" i="70"/>
  <c r="S9" i="1"/>
  <c r="AQ8" i="1"/>
  <c r="T8" i="1"/>
  <c r="AR8" i="1"/>
  <c r="E7" i="70"/>
  <c r="S10" i="1"/>
  <c r="E10" i="70"/>
  <c r="S12" i="1"/>
  <c r="T12" i="1" s="1"/>
  <c r="B2" i="74"/>
  <c r="P14" i="1"/>
  <c r="H48" i="35"/>
  <c r="G63" i="40"/>
  <c r="F65" i="40"/>
  <c r="G58" i="21"/>
  <c r="C60" i="15"/>
  <c r="C60" i="67"/>
  <c r="R7" i="1"/>
  <c r="E12" i="70"/>
  <c r="F34" i="11"/>
  <c r="C36" i="11" s="1"/>
  <c r="F11" i="12"/>
  <c r="C23" i="12" s="1"/>
  <c r="E9" i="70"/>
  <c r="AR9" i="1"/>
  <c r="AQ9" i="1"/>
  <c r="T9" i="1"/>
  <c r="AQ11" i="1"/>
  <c r="AR11" i="1"/>
  <c r="T11" i="1"/>
  <c r="AR12" i="1"/>
  <c r="AQ12" i="1"/>
  <c r="AQ10" i="1"/>
  <c r="T10" i="1"/>
  <c r="AR10" i="1"/>
  <c r="AR7" i="1"/>
  <c r="AQ7" i="1"/>
  <c r="T7" i="1"/>
  <c r="R11" i="1"/>
  <c r="R9" i="1"/>
  <c r="R10" i="1"/>
  <c r="D8" i="74"/>
  <c r="D7" i="74"/>
  <c r="R8" i="1"/>
  <c r="C8" i="69"/>
  <c r="R12" i="1"/>
  <c r="G65" i="40"/>
  <c r="H63" i="40"/>
  <c r="I48" i="35"/>
  <c r="J48" i="35" s="1"/>
  <c r="H58" i="21"/>
  <c r="C33" i="15"/>
  <c r="C33" i="67"/>
  <c r="I63" i="40"/>
  <c r="H65" i="40"/>
  <c r="I58" i="21"/>
  <c r="J58" i="21"/>
  <c r="K58" i="21" s="1"/>
  <c r="J63" i="40"/>
  <c r="K63" i="40" s="1"/>
  <c r="I65" i="40"/>
  <c r="C61" i="67"/>
  <c r="J65" i="40"/>
  <c r="C34" i="67"/>
  <c r="C62" i="67"/>
  <c r="C62" i="15"/>
  <c r="C34" i="15"/>
  <c r="C61" i="15"/>
  <c r="B2" i="33"/>
  <c r="B2" i="36"/>
  <c r="B3" i="36"/>
  <c r="B2" i="35"/>
  <c r="B3" i="35"/>
  <c r="B2" i="37"/>
  <c r="B2" i="34"/>
  <c r="B6" i="74"/>
  <c r="D6" i="74"/>
  <c r="F36" i="67"/>
  <c r="F7" i="15"/>
  <c r="M28" i="15"/>
  <c r="M26" i="67"/>
  <c r="E10" i="76"/>
  <c r="F40" i="67"/>
  <c r="M29" i="67"/>
  <c r="F16" i="15"/>
  <c r="E13" i="76"/>
  <c r="B8" i="76"/>
  <c r="F41" i="15"/>
  <c r="M27" i="15"/>
  <c r="F7" i="67"/>
  <c r="L48" i="67"/>
  <c r="B9" i="76"/>
  <c r="F6" i="15"/>
  <c r="M23" i="15"/>
  <c r="D4" i="73"/>
  <c r="F26" i="67"/>
  <c r="F20" i="31"/>
  <c r="M29" i="15"/>
  <c r="B10" i="76"/>
  <c r="F5" i="73"/>
  <c r="M27" i="67"/>
  <c r="AO9" i="1"/>
  <c r="AO12" i="1"/>
  <c r="F16" i="67"/>
  <c r="M6" i="67"/>
  <c r="D3" i="73"/>
  <c r="M28" i="67"/>
  <c r="B11" i="76"/>
  <c r="E7" i="76"/>
  <c r="L47" i="67"/>
  <c r="M9" i="67"/>
  <c r="AO13" i="1"/>
  <c r="D2" i="36"/>
  <c r="D5" i="73"/>
  <c r="D9" i="69"/>
  <c r="F36" i="15"/>
  <c r="J15" i="67"/>
  <c r="M8" i="67"/>
  <c r="C76" i="67"/>
  <c r="F13" i="15"/>
  <c r="D2" i="37"/>
  <c r="C36" i="69"/>
  <c r="C14" i="15"/>
  <c r="B7" i="76"/>
  <c r="M8" i="15"/>
  <c r="F9" i="15"/>
  <c r="F8" i="15"/>
  <c r="AO11" i="1"/>
  <c r="E2" i="68"/>
  <c r="F42" i="15"/>
  <c r="D2" i="33"/>
  <c r="F6" i="67"/>
  <c r="F42" i="67"/>
  <c r="E9" i="76"/>
  <c r="F6" i="73"/>
  <c r="C76" i="15"/>
  <c r="F3" i="73"/>
  <c r="L48" i="15"/>
  <c r="D2" i="21"/>
  <c r="F4" i="73"/>
  <c r="D7" i="73"/>
  <c r="E12" i="76"/>
  <c r="AO10" i="1"/>
  <c r="AO8" i="1"/>
  <c r="F13" i="67"/>
  <c r="F43" i="15"/>
  <c r="B12" i="76"/>
  <c r="M24" i="15"/>
  <c r="E11" i="76"/>
  <c r="B13" i="76"/>
  <c r="D35" i="9"/>
  <c r="M6" i="15"/>
  <c r="F8" i="67"/>
  <c r="M26" i="15"/>
  <c r="M23" i="67"/>
  <c r="M21" i="15"/>
  <c r="F35" i="15"/>
  <c r="AO7" i="1"/>
  <c r="F37" i="67"/>
  <c r="F37" i="15"/>
  <c r="F40" i="15"/>
  <c r="E8" i="76"/>
  <c r="M22" i="15"/>
  <c r="M24" i="67"/>
  <c r="F26" i="15"/>
  <c r="F7" i="73"/>
  <c r="F27" i="69"/>
  <c r="D2" i="35"/>
  <c r="F38" i="67"/>
  <c r="L47" i="15"/>
  <c r="E2" i="69"/>
  <c r="D34" i="9"/>
  <c r="M22" i="67"/>
  <c r="F43" i="67"/>
  <c r="F38" i="15"/>
  <c r="M9" i="15"/>
  <c r="J15" i="15"/>
  <c r="D2" i="34"/>
  <c r="D6" i="73"/>
  <c r="F9" i="67"/>
  <c r="P16" i="1" l="1"/>
  <c r="C11" i="12" s="1"/>
  <c r="C12" i="12" s="1"/>
  <c r="L63" i="40"/>
  <c r="K65" i="40"/>
  <c r="L58" i="21"/>
  <c r="M58" i="21" s="1"/>
  <c r="N58" i="21" s="1"/>
  <c r="O58" i="21" s="1"/>
  <c r="H7" i="21"/>
  <c r="F7" i="21"/>
  <c r="H7" i="35"/>
  <c r="K48" i="35"/>
  <c r="L48" i="35" s="1"/>
  <c r="M48" i="35" s="1"/>
  <c r="N48" i="35" s="1"/>
  <c r="O48" i="35" s="1"/>
  <c r="J7" i="35"/>
  <c r="F7" i="35"/>
  <c r="U10" i="39"/>
  <c r="AB10" i="39"/>
  <c r="G52" i="37"/>
  <c r="H52" i="37" s="1"/>
  <c r="I52" i="37" s="1"/>
  <c r="J52" i="37" s="1"/>
  <c r="K52" i="37" s="1"/>
  <c r="L52" i="37" s="1"/>
  <c r="M52" i="37" s="1"/>
  <c r="N52" i="37" s="1"/>
  <c r="O52" i="37" s="1"/>
  <c r="J7" i="37"/>
  <c r="K46" i="36"/>
  <c r="J7" i="21"/>
  <c r="W10" i="39"/>
  <c r="AC10" i="39"/>
  <c r="F58" i="33"/>
  <c r="G58" i="33" s="1"/>
  <c r="H58" i="33" s="1"/>
  <c r="I58" i="33" s="1"/>
  <c r="J58" i="33" s="1"/>
  <c r="K58" i="33" s="1"/>
  <c r="L58" i="33" s="1"/>
  <c r="M58" i="33" s="1"/>
  <c r="N58" i="33" s="1"/>
  <c r="O58" i="33" s="1"/>
  <c r="F7" i="33"/>
  <c r="J7" i="33"/>
  <c r="F10" i="39"/>
  <c r="J10" i="40"/>
  <c r="F10" i="40"/>
  <c r="H10" i="40"/>
  <c r="D125" i="9"/>
  <c r="D11" i="52" s="1"/>
  <c r="D10" i="52"/>
  <c r="F28" i="12"/>
  <c r="C29" i="12" s="1"/>
  <c r="D28" i="12" s="1"/>
  <c r="F27" i="68"/>
  <c r="F45" i="68" s="1"/>
  <c r="D59" i="34"/>
  <c r="K14" i="1"/>
  <c r="E30" i="6"/>
  <c r="H26" i="43"/>
  <c r="J26" i="43"/>
  <c r="E26" i="43"/>
  <c r="D26" i="43" s="1"/>
  <c r="N94" i="46"/>
  <c r="B116" i="43"/>
  <c r="C25" i="43"/>
  <c r="AC11" i="34"/>
  <c r="W11" i="37"/>
  <c r="D19" i="53"/>
  <c r="AC25" i="33"/>
  <c r="AC10" i="34"/>
  <c r="W10" i="34"/>
  <c r="P26"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W27" i="21"/>
  <c r="AC27" i="21"/>
  <c r="AC29" i="21"/>
  <c r="W29" i="21"/>
  <c r="AC26" i="33"/>
  <c r="W26" i="33"/>
  <c r="W9" i="35"/>
  <c r="AC9" i="35"/>
  <c r="C29" i="11"/>
  <c r="D27" i="11" s="1"/>
  <c r="C47" i="11"/>
  <c r="D45" i="11" s="1"/>
  <c r="D69" i="39"/>
  <c r="E67" i="39"/>
  <c r="E60" i="39"/>
  <c r="E65" i="39" s="1"/>
  <c r="E56" i="40"/>
  <c r="D127" i="9"/>
  <c r="D13" i="52" s="1"/>
  <c r="D12" i="52"/>
  <c r="W36" i="33"/>
  <c r="AC36" i="33"/>
  <c r="U11" i="34"/>
  <c r="AB11" i="34"/>
  <c r="W32" i="21"/>
  <c r="AC32" i="21"/>
  <c r="E521" i="3"/>
  <c r="S12" i="21"/>
  <c r="AA12" i="21"/>
  <c r="W27" i="34"/>
  <c r="AC27" i="34"/>
  <c r="P27" i="43"/>
  <c r="B70" i="39" s="1"/>
  <c r="P25" i="43"/>
  <c r="P28" i="43"/>
  <c r="B66" i="40" s="1"/>
  <c r="F7" i="37"/>
  <c r="H7" i="37"/>
  <c r="K120" i="9"/>
  <c r="AQ13" i="1"/>
  <c r="C30" i="68"/>
  <c r="T13" i="1"/>
  <c r="D6" i="52"/>
  <c r="AA23" i="37"/>
  <c r="AC15" i="21"/>
  <c r="AB34" i="33"/>
  <c r="S20" i="36"/>
  <c r="W27" i="40"/>
  <c r="AA35" i="33"/>
  <c r="AC39" i="34"/>
  <c r="U44" i="34"/>
  <c r="S30" i="40"/>
  <c r="AA39" i="34"/>
  <c r="W44" i="33"/>
  <c r="S11" i="36"/>
  <c r="AA14" i="33"/>
  <c r="AA44" i="33"/>
  <c r="BA551" i="3"/>
  <c r="AZ551" i="3" s="1"/>
  <c r="BA548" i="3"/>
  <c r="AZ548" i="3" s="1"/>
  <c r="AZ403" i="3"/>
  <c r="AZ420" i="3"/>
  <c r="AZ434" i="3"/>
  <c r="AZ442" i="3"/>
  <c r="AZ446" i="3"/>
  <c r="AZ454" i="3"/>
  <c r="AZ466" i="3"/>
  <c r="AZ470" i="3"/>
  <c r="AZ477" i="3"/>
  <c r="AZ481" i="3"/>
  <c r="AZ485" i="3"/>
  <c r="AZ489" i="3"/>
  <c r="AZ217" i="3"/>
  <c r="AZ220" i="3"/>
  <c r="AZ231" i="3"/>
  <c r="AZ247" i="3"/>
  <c r="AZ264" i="3"/>
  <c r="AZ153" i="3"/>
  <c r="BL550" i="3"/>
  <c r="AZ550" i="3" s="1"/>
  <c r="C36" i="68"/>
  <c r="AZ405" i="3"/>
  <c r="AZ413" i="3"/>
  <c r="AZ426" i="3"/>
  <c r="AZ431" i="3"/>
  <c r="AZ439" i="3"/>
  <c r="AZ444" i="3"/>
  <c r="AZ448" i="3"/>
  <c r="AZ452" i="3"/>
  <c r="AZ456" i="3"/>
  <c r="AZ459" i="3"/>
  <c r="AZ463" i="3"/>
  <c r="AZ475" i="3"/>
  <c r="AZ483" i="3"/>
  <c r="AZ487" i="3"/>
  <c r="AZ385" i="3"/>
  <c r="AZ210" i="3"/>
  <c r="AZ225" i="3"/>
  <c r="AZ239" i="3"/>
  <c r="AZ255" i="3"/>
  <c r="AZ274" i="3"/>
  <c r="AZ277" i="3"/>
  <c r="AZ301" i="3"/>
  <c r="AZ161" i="3"/>
  <c r="AZ193" i="3"/>
  <c r="AZ205" i="3"/>
  <c r="AZ23" i="3"/>
  <c r="AZ5" i="3" s="1"/>
  <c r="AZ38" i="3"/>
  <c r="AZ48" i="3"/>
  <c r="AZ52" i="3"/>
  <c r="AZ64" i="3"/>
  <c r="AZ68" i="3"/>
  <c r="AZ108" i="3"/>
  <c r="W21" i="21"/>
  <c r="C21" i="68"/>
  <c r="C25" i="40"/>
  <c r="T64" i="71"/>
  <c r="P66" i="71"/>
  <c r="D43" i="71"/>
  <c r="C26" i="71"/>
  <c r="D26" i="71" s="1"/>
  <c r="D27" i="71"/>
  <c r="M23" i="43"/>
  <c r="E15" i="71"/>
  <c r="E14" i="71" s="1"/>
  <c r="E13" i="71" s="1"/>
  <c r="E12" i="71" s="1"/>
  <c r="V16" i="71"/>
  <c r="S16" i="71"/>
  <c r="B15" i="71"/>
  <c r="B14" i="71" s="1"/>
  <c r="B13" i="71" s="1"/>
  <c r="B12" i="71" s="1"/>
  <c r="C16" i="71"/>
  <c r="D17" i="71"/>
  <c r="R25" i="77"/>
  <c r="R5" i="77" s="1"/>
  <c r="U5" i="77" s="1"/>
  <c r="D38" i="77"/>
  <c r="D39" i="77" s="1"/>
  <c r="E23" i="77"/>
  <c r="D26" i="77"/>
  <c r="D29" i="77"/>
  <c r="D32" i="77"/>
  <c r="S28" i="71"/>
  <c r="B67" i="71"/>
  <c r="N56" i="9"/>
  <c r="V3" i="79"/>
  <c r="V5" i="79"/>
  <c r="AD5" i="79"/>
  <c r="AA3" i="79"/>
  <c r="AD3" i="79" s="1"/>
  <c r="K3" i="79"/>
  <c r="R6" i="79"/>
  <c r="R7" i="79"/>
  <c r="R3" i="79"/>
  <c r="T9" i="79"/>
  <c r="W9" i="79" s="1"/>
  <c r="P9" i="79"/>
  <c r="T23" i="79"/>
  <c r="W23" i="79" s="1"/>
  <c r="P25" i="79"/>
  <c r="V8" i="79"/>
  <c r="S8" i="79"/>
  <c r="S6" i="79"/>
  <c r="N23" i="79"/>
  <c r="U26" i="79"/>
  <c r="S26" i="79"/>
  <c r="S23" i="79"/>
  <c r="P26" i="79"/>
  <c r="T26" i="79"/>
  <c r="W26" i="79" s="1"/>
  <c r="B14" i="74"/>
  <c r="B1" i="74" s="1"/>
  <c r="C33" i="21"/>
  <c r="R35" i="77"/>
  <c r="U34" i="77" s="1"/>
  <c r="B18" i="78"/>
  <c r="S25" i="79"/>
  <c r="R9" i="79"/>
  <c r="U7" i="79"/>
  <c r="S7" i="79"/>
  <c r="V6" i="79"/>
  <c r="T5" i="79"/>
  <c r="W5" i="79" s="1"/>
  <c r="T7" i="79"/>
  <c r="W7" i="79" s="1"/>
  <c r="R5" i="79"/>
  <c r="S27" i="79"/>
  <c r="T25" i="79"/>
  <c r="W25" i="79" s="1"/>
  <c r="M3" i="79"/>
  <c r="P3" i="79" s="1"/>
  <c r="P5" i="79"/>
  <c r="T3" i="79"/>
  <c r="W3" i="79" s="1"/>
  <c r="Z3" i="79"/>
  <c r="S9" i="79"/>
  <c r="U9" i="79"/>
  <c r="R10" i="79"/>
  <c r="S10" i="79"/>
  <c r="U10" i="79"/>
  <c r="N3" i="79"/>
  <c r="U5" i="79"/>
  <c r="U6" i="79"/>
  <c r="T13" i="79"/>
  <c r="W13" i="79" s="1"/>
  <c r="P13" i="79"/>
  <c r="L23" i="79"/>
  <c r="AD29" i="79"/>
  <c r="T27" i="79"/>
  <c r="W27" i="79" s="1"/>
  <c r="T29" i="79"/>
  <c r="W29" i="79" s="1"/>
  <c r="P29" i="79"/>
  <c r="S30" i="79"/>
  <c r="S29" i="79"/>
  <c r="S31" i="79"/>
  <c r="AD32" i="79"/>
  <c r="S33" i="79"/>
  <c r="AD34" i="79"/>
  <c r="D11" i="77"/>
  <c r="E11" i="77" s="1"/>
  <c r="E7" i="77" s="1"/>
  <c r="C27" i="77" s="1"/>
  <c r="S11" i="79"/>
  <c r="C7" i="78"/>
  <c r="D7" i="78" s="1"/>
  <c r="C5" i="78"/>
  <c r="D5" i="78" s="1"/>
  <c r="B7" i="70"/>
  <c r="B8" i="70"/>
  <c r="B12" i="70"/>
  <c r="F63" i="15"/>
  <c r="C15" i="15"/>
  <c r="C18" i="15"/>
  <c r="B11" i="70"/>
  <c r="B10" i="70"/>
  <c r="B9" i="70"/>
  <c r="J20" i="15"/>
  <c r="F69" i="15"/>
  <c r="C29" i="69"/>
  <c r="D27" i="69" s="1"/>
  <c r="F45" i="69"/>
  <c r="C47" i="69"/>
  <c r="D45" i="69" s="1"/>
  <c r="F66" i="15"/>
  <c r="B13" i="70"/>
  <c r="F51" i="15"/>
  <c r="F71" i="67"/>
  <c r="I1" i="73"/>
  <c r="B39" i="1" s="1"/>
  <c r="F51" i="67"/>
  <c r="Q71" i="67"/>
  <c r="C27" i="15"/>
  <c r="L59" i="67"/>
  <c r="M59" i="67"/>
  <c r="N59" i="67"/>
  <c r="L58" i="67"/>
  <c r="B20" i="31"/>
  <c r="B21" i="31" s="1"/>
  <c r="J53" i="15"/>
  <c r="J57" i="15"/>
  <c r="J55" i="15" s="1"/>
  <c r="J58" i="15" s="1"/>
  <c r="Q50" i="15" s="1"/>
  <c r="I54" i="15"/>
  <c r="F68" i="67"/>
  <c r="C27" i="67"/>
  <c r="Q71" i="15"/>
  <c r="F31" i="15"/>
  <c r="C6" i="15"/>
  <c r="F64" i="15"/>
  <c r="F68" i="15"/>
  <c r="N59" i="15"/>
  <c r="M59" i="15"/>
  <c r="L59" i="15"/>
  <c r="L58" i="15"/>
  <c r="F65" i="15"/>
  <c r="F71" i="15"/>
  <c r="M7" i="15"/>
  <c r="J6" i="15" s="1"/>
  <c r="F50" i="15"/>
  <c r="C9" i="69"/>
  <c r="B29" i="1" s="1"/>
  <c r="C8" i="68" s="1"/>
  <c r="C5" i="68" s="1"/>
  <c r="J59" i="67"/>
  <c r="J57" i="67"/>
  <c r="J55" i="67" s="1"/>
  <c r="J58" i="67" s="1"/>
  <c r="Q50" i="67" s="1"/>
  <c r="J60" i="67"/>
  <c r="Q48" i="67" s="1"/>
  <c r="L56" i="67"/>
  <c r="J53" i="67"/>
  <c r="L60" i="67"/>
  <c r="F66" i="67"/>
  <c r="F65" i="67"/>
  <c r="F64" i="67"/>
  <c r="M7" i="67"/>
  <c r="M17" i="67" s="1"/>
  <c r="F50" i="67"/>
  <c r="C6" i="67"/>
  <c r="F31" i="67"/>
  <c r="C47" i="68"/>
  <c r="D45" i="68" s="1"/>
  <c r="C15" i="12"/>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6" i="67"/>
  <c r="C16" i="15"/>
  <c r="G1" i="73"/>
  <c r="C17" i="15"/>
  <c r="C29" i="68" l="1"/>
  <c r="D27" i="68" s="1"/>
  <c r="F59" i="67"/>
  <c r="B40" i="1"/>
  <c r="F24" i="67" s="1"/>
  <c r="C24" i="67" s="1"/>
  <c r="E3" i="6"/>
  <c r="AY6" i="3"/>
  <c r="C23" i="43"/>
  <c r="T15" i="43" s="1"/>
  <c r="V15" i="43" s="1"/>
  <c r="D7" i="77"/>
  <c r="C26" i="77" s="1"/>
  <c r="C32" i="77" s="1"/>
  <c r="C38" i="77" s="1"/>
  <c r="C39" i="77" s="1"/>
  <c r="C40" i="77" s="1"/>
  <c r="E38" i="77"/>
  <c r="E39" i="77" s="1"/>
  <c r="E26" i="77"/>
  <c r="E32" i="77" s="1"/>
  <c r="E29" i="77"/>
  <c r="S12" i="71"/>
  <c r="B11" i="71"/>
  <c r="B10" i="71" s="1"/>
  <c r="B9" i="71" s="1"/>
  <c r="B8" i="71" s="1"/>
  <c r="B7" i="71" s="1"/>
  <c r="B6" i="71" s="1"/>
  <c r="B5" i="71" s="1"/>
  <c r="S7" i="37"/>
  <c r="AA7" i="37"/>
  <c r="R42" i="37" s="1"/>
  <c r="BL5" i="3"/>
  <c r="B38" i="72"/>
  <c r="D20" i="53"/>
  <c r="B40" i="72"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B120" i="43"/>
  <c r="C120" i="43" s="1"/>
  <c r="G121" i="43"/>
  <c r="H121" i="43" s="1"/>
  <c r="D121" i="43"/>
  <c r="E121" i="43" s="1"/>
  <c r="F121" i="43" s="1"/>
  <c r="AB10" i="40"/>
  <c r="U10" i="40"/>
  <c r="AC10" i="40"/>
  <c r="W10" i="40"/>
  <c r="AC7" i="33"/>
  <c r="V48" i="33" s="1"/>
  <c r="I48" i="33" s="1"/>
  <c r="W7" i="33"/>
  <c r="H7" i="33"/>
  <c r="AC7" i="21"/>
  <c r="W7" i="21"/>
  <c r="L46" i="36"/>
  <c r="S7" i="35"/>
  <c r="AA7" i="35"/>
  <c r="R38" i="35" s="1"/>
  <c r="AA7" i="21"/>
  <c r="S7" i="21"/>
  <c r="M63" i="40"/>
  <c r="L65" i="40"/>
  <c r="J33" i="21"/>
  <c r="F33" i="21"/>
  <c r="H33" i="21"/>
  <c r="N67" i="71"/>
  <c r="B66" i="71"/>
  <c r="C15" i="71"/>
  <c r="D16" i="71"/>
  <c r="U16" i="71" s="1"/>
  <c r="T16" i="71"/>
  <c r="V12" i="71"/>
  <c r="E11" i="71"/>
  <c r="E10" i="71" s="1"/>
  <c r="E9" i="71" s="1"/>
  <c r="E8" i="71" s="1"/>
  <c r="E7" i="71" s="1"/>
  <c r="E6" i="71" s="1"/>
  <c r="E5" i="71" s="1"/>
  <c r="AB7" i="37"/>
  <c r="T42" i="37" s="1"/>
  <c r="G42" i="37" s="1"/>
  <c r="U7" i="37"/>
  <c r="BA5" i="3"/>
  <c r="E27" i="6" s="1"/>
  <c r="F67" i="39"/>
  <c r="E69" i="39"/>
  <c r="H6" i="3"/>
  <c r="AC6" i="3"/>
  <c r="K16" i="1"/>
  <c r="M14" i="1"/>
  <c r="E59" i="34"/>
  <c r="F59" i="34" s="1"/>
  <c r="G59" i="34" s="1"/>
  <c r="H59" i="34" s="1"/>
  <c r="I59" i="34" s="1"/>
  <c r="J59" i="34" s="1"/>
  <c r="K59" i="34" s="1"/>
  <c r="L59" i="34" s="1"/>
  <c r="M59" i="34" s="1"/>
  <c r="N59" i="34" s="1"/>
  <c r="O59" i="34" s="1"/>
  <c r="J7" i="34"/>
  <c r="F7" i="34"/>
  <c r="S10" i="40"/>
  <c r="AA10" i="40"/>
  <c r="S10" i="39"/>
  <c r="AA10" i="39"/>
  <c r="S7" i="33"/>
  <c r="AA7" i="33"/>
  <c r="R48" i="33" s="1"/>
  <c r="AC7" i="37"/>
  <c r="V42" i="37" s="1"/>
  <c r="I42" i="37" s="1"/>
  <c r="W7" i="37"/>
  <c r="AC7" i="35"/>
  <c r="V38" i="35" s="1"/>
  <c r="I38" i="35" s="1"/>
  <c r="W7" i="35"/>
  <c r="AB7" i="35"/>
  <c r="T38" i="35" s="1"/>
  <c r="G38" i="35" s="1"/>
  <c r="U7" i="35"/>
  <c r="AB7" i="21"/>
  <c r="U7" i="21"/>
  <c r="F59" i="15"/>
  <c r="T13" i="43"/>
  <c r="V13" i="43" s="1"/>
  <c r="T9" i="43"/>
  <c r="V9" i="43" s="1"/>
  <c r="T16" i="43"/>
  <c r="V16" i="43" s="1"/>
  <c r="T12" i="43"/>
  <c r="V12" i="43" s="1"/>
  <c r="T8" i="43"/>
  <c r="V8" i="43" s="1"/>
  <c r="T3" i="43"/>
  <c r="V3" i="43" s="1"/>
  <c r="T6" i="43"/>
  <c r="V6" i="43" s="1"/>
  <c r="C40" i="43"/>
  <c r="C42" i="43"/>
  <c r="C33" i="43"/>
  <c r="C39" i="43"/>
  <c r="C19" i="15"/>
  <c r="J18" i="15"/>
  <c r="J19" i="15"/>
  <c r="C31" i="67"/>
  <c r="F1" i="67"/>
  <c r="Q52" i="67"/>
  <c r="J6" i="67"/>
  <c r="Q73" i="15"/>
  <c r="Q60" i="15"/>
  <c r="C31" i="15"/>
  <c r="F1" i="15"/>
  <c r="Q52" i="15"/>
  <c r="Q73" i="67"/>
  <c r="Q60" i="67"/>
  <c r="M17" i="15"/>
  <c r="J17" i="15" s="1"/>
  <c r="F11" i="67"/>
  <c r="C53" i="67" s="1"/>
  <c r="M11" i="67"/>
  <c r="J10" i="67" s="1"/>
  <c r="M11" i="15"/>
  <c r="J10" i="15" s="1"/>
  <c r="J5" i="15" s="1"/>
  <c r="F11" i="15"/>
  <c r="Q57" i="67"/>
  <c r="Q66" i="67"/>
  <c r="Q61" i="15"/>
  <c r="Q74" i="15"/>
  <c r="L56" i="15"/>
  <c r="Q74" i="67"/>
  <c r="Q61" i="67"/>
  <c r="C49" i="67"/>
  <c r="C49" i="15"/>
  <c r="AE6" i="1"/>
  <c r="C37" i="43" l="1"/>
  <c r="C38" i="43"/>
  <c r="C41" i="43"/>
  <c r="T5" i="43"/>
  <c r="V5" i="43" s="1"/>
  <c r="T2" i="43"/>
  <c r="V2" i="43" s="1"/>
  <c r="T4" i="43"/>
  <c r="V4" i="43" s="1"/>
  <c r="T10" i="43"/>
  <c r="V10" i="43" s="1"/>
  <c r="T14" i="43"/>
  <c r="V14" i="43" s="1"/>
  <c r="T7" i="43"/>
  <c r="V7" i="43" s="1"/>
  <c r="T11" i="43"/>
  <c r="V11" i="43" s="1"/>
  <c r="F22" i="68"/>
  <c r="F41" i="68" s="1"/>
  <c r="F22" i="69"/>
  <c r="F41" i="69" s="1"/>
  <c r="L36" i="43"/>
  <c r="P36" i="43" s="1"/>
  <c r="F24" i="15"/>
  <c r="C24" i="15" s="1"/>
  <c r="F22" i="11"/>
  <c r="C44" i="11" s="1"/>
  <c r="D41" i="11" s="1"/>
  <c r="F25" i="12"/>
  <c r="C26" i="12" s="1"/>
  <c r="D25" i="12" s="1"/>
  <c r="E48" i="33"/>
  <c r="R49" i="33"/>
  <c r="S7" i="34"/>
  <c r="AA7" i="34"/>
  <c r="R49" i="34" s="1"/>
  <c r="E6" i="3"/>
  <c r="G67" i="39"/>
  <c r="F69" i="39"/>
  <c r="C14" i="71"/>
  <c r="D15" i="71"/>
  <c r="AA33" i="21"/>
  <c r="R48" i="21" s="1"/>
  <c r="S33" i="21"/>
  <c r="N63" i="40"/>
  <c r="M65" i="40"/>
  <c r="M46" i="36"/>
  <c r="R43" i="37"/>
  <c r="E42" i="37"/>
  <c r="B2" i="77"/>
  <c r="B3" i="77" s="1"/>
  <c r="C41" i="77"/>
  <c r="H7" i="34"/>
  <c r="D37" i="11"/>
  <c r="C37" i="11" s="1"/>
  <c r="M18" i="9"/>
  <c r="B118" i="9" s="1"/>
  <c r="D19" i="11"/>
  <c r="C19" i="11" s="1"/>
  <c r="L18" i="9"/>
  <c r="D3" i="33"/>
  <c r="B3" i="33" s="1"/>
  <c r="D3" i="21"/>
  <c r="D14" i="12"/>
  <c r="D3" i="34"/>
  <c r="B3" i="34" s="1"/>
  <c r="C17" i="4"/>
  <c r="B4" i="52" s="1"/>
  <c r="B43" i="72" s="1"/>
  <c r="D3" i="37"/>
  <c r="B3" i="37" s="1"/>
  <c r="E6" i="6"/>
  <c r="G42" i="35"/>
  <c r="H42" i="35" s="1"/>
  <c r="G43" i="35"/>
  <c r="H43" i="35" s="1"/>
  <c r="I42" i="35"/>
  <c r="J42" i="35" s="1"/>
  <c r="I46" i="37"/>
  <c r="J46" i="37" s="1"/>
  <c r="I47" i="37"/>
  <c r="J47" i="37" s="1"/>
  <c r="W7" i="34"/>
  <c r="AC7" i="34"/>
  <c r="V49" i="34" s="1"/>
  <c r="I49" i="34" s="1"/>
  <c r="M16" i="1"/>
  <c r="E31" i="6"/>
  <c r="K20" i="6"/>
  <c r="M20" i="6" s="1"/>
  <c r="I20" i="6" s="1"/>
  <c r="S20" i="6" s="1"/>
  <c r="K24" i="6"/>
  <c r="M24" i="6" s="1"/>
  <c r="I24" i="6" s="1"/>
  <c r="S24" i="6" s="1"/>
  <c r="K22" i="6"/>
  <c r="M22" i="6" s="1"/>
  <c r="I22" i="6" s="1"/>
  <c r="S22" i="6" s="1"/>
  <c r="K26" i="6"/>
  <c r="M26" i="6" s="1"/>
  <c r="I26" i="6" s="1"/>
  <c r="S26" i="6" s="1"/>
  <c r="K21" i="6"/>
  <c r="M21" i="6" s="1"/>
  <c r="I21" i="6" s="1"/>
  <c r="S21" i="6" s="1"/>
  <c r="K25" i="6"/>
  <c r="M25" i="6" s="1"/>
  <c r="I25" i="6" s="1"/>
  <c r="S25" i="6" s="1"/>
  <c r="K19" i="6"/>
  <c r="K23" i="6"/>
  <c r="M23" i="6" s="1"/>
  <c r="I23" i="6" s="1"/>
  <c r="S23" i="6" s="1"/>
  <c r="G46" i="37"/>
  <c r="H46" i="37" s="1"/>
  <c r="G47" i="37"/>
  <c r="H47" i="37" s="1"/>
  <c r="N66" i="71"/>
  <c r="N65" i="71"/>
  <c r="AB33" i="21"/>
  <c r="T48" i="21" s="1"/>
  <c r="G48" i="21" s="1"/>
  <c r="U33" i="21"/>
  <c r="AC33" i="21"/>
  <c r="V48" i="21" s="1"/>
  <c r="I48" i="21" s="1"/>
  <c r="I52" i="21" s="1"/>
  <c r="J52" i="21" s="1"/>
  <c r="W33" i="21"/>
  <c r="R39" i="35"/>
  <c r="E38" i="35"/>
  <c r="U7" i="33"/>
  <c r="AB7" i="33"/>
  <c r="T48" i="33" s="1"/>
  <c r="G48" i="33" s="1"/>
  <c r="I53" i="33"/>
  <c r="J53" i="33" s="1"/>
  <c r="I52" i="33"/>
  <c r="J52" i="33" s="1"/>
  <c r="D116" i="43"/>
  <c r="C118" i="4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C10" i="67"/>
  <c r="C5" i="67" s="1"/>
  <c r="C38" i="67" s="1"/>
  <c r="E37" i="43"/>
  <c r="G37" i="43"/>
  <c r="I37" i="43" s="1"/>
  <c r="G38" i="43"/>
  <c r="I38" i="43" s="1"/>
  <c r="E38" i="43"/>
  <c r="G41" i="43"/>
  <c r="I41" i="43" s="1"/>
  <c r="E41" i="43"/>
  <c r="G39" i="43"/>
  <c r="I39" i="43" s="1"/>
  <c r="E39" i="43"/>
  <c r="C6" i="69"/>
  <c r="C34" i="43"/>
  <c r="E34" i="43" s="1"/>
  <c r="E33" i="43"/>
  <c r="E42" i="43"/>
  <c r="G42" i="43"/>
  <c r="I42" i="43" s="1"/>
  <c r="E40" i="43"/>
  <c r="G40" i="43"/>
  <c r="I40" i="43" s="1"/>
  <c r="J24" i="15"/>
  <c r="J26" i="15"/>
  <c r="J29" i="15" s="1"/>
  <c r="C53" i="15"/>
  <c r="C48" i="15" s="1"/>
  <c r="C10" i="15"/>
  <c r="C5" i="15" s="1"/>
  <c r="C59" i="15"/>
  <c r="C26" i="68"/>
  <c r="D22" i="68" s="1"/>
  <c r="J5" i="67"/>
  <c r="J18" i="67"/>
  <c r="J19" i="67"/>
  <c r="J17" i="67"/>
  <c r="C20" i="15"/>
  <c r="C23" i="15" s="1"/>
  <c r="C59" i="67"/>
  <c r="C48" i="67"/>
  <c r="F41" i="67"/>
  <c r="O36" i="43" l="1"/>
  <c r="Q36" i="43"/>
  <c r="C24" i="11"/>
  <c r="N36" i="43"/>
  <c r="C44" i="68"/>
  <c r="D41" i="68" s="1"/>
  <c r="C23" i="11"/>
  <c r="C23" i="68"/>
  <c r="L37" i="43"/>
  <c r="O37" i="43" s="1"/>
  <c r="M36" i="43"/>
  <c r="C26" i="11"/>
  <c r="D22" i="11" s="1"/>
  <c r="C26" i="69"/>
  <c r="D22" i="69" s="1"/>
  <c r="C44" i="69"/>
  <c r="D41" i="69" s="1"/>
  <c r="C30" i="43"/>
  <c r="G52" i="33"/>
  <c r="H52" i="33" s="1"/>
  <c r="G53" i="33"/>
  <c r="H53" i="33" s="1"/>
  <c r="E43" i="35"/>
  <c r="F43" i="35" s="1"/>
  <c r="E42" i="35"/>
  <c r="F42" i="35" s="1"/>
  <c r="I43" i="35"/>
  <c r="J43" i="35" s="1"/>
  <c r="D10" i="11"/>
  <c r="C10" i="11" s="1"/>
  <c r="D20" i="12"/>
  <c r="C20" i="12" s="1"/>
  <c r="C18" i="12" s="1"/>
  <c r="D10" i="68"/>
  <c r="D17" i="12"/>
  <c r="C17" i="12" s="1"/>
  <c r="C14" i="12"/>
  <c r="C16" i="12" s="1"/>
  <c r="C20" i="11"/>
  <c r="C25" i="11" s="1"/>
  <c r="C28" i="11"/>
  <c r="C27" i="11" s="1"/>
  <c r="C42" i="37"/>
  <c r="C43" i="37"/>
  <c r="E53" i="33"/>
  <c r="F53" i="33" s="1"/>
  <c r="E52" i="33"/>
  <c r="F52" i="33" s="1"/>
  <c r="D15" i="6"/>
  <c r="D21" i="6"/>
  <c r="R21" i="6" s="1"/>
  <c r="D20" i="6"/>
  <c r="D25" i="6"/>
  <c r="D24" i="6"/>
  <c r="D8" i="6"/>
  <c r="D6" i="6"/>
  <c r="D10" i="6"/>
  <c r="D29" i="6"/>
  <c r="H22" i="6"/>
  <c r="H24" i="6"/>
  <c r="C18" i="4"/>
  <c r="D5" i="6"/>
  <c r="D11" i="6"/>
  <c r="D28" i="6"/>
  <c r="D30" i="6" s="1"/>
  <c r="E61" i="40"/>
  <c r="H23" i="6"/>
  <c r="D22" i="6"/>
  <c r="R22" i="6" s="1"/>
  <c r="M19" i="9"/>
  <c r="C118" i="9" s="1"/>
  <c r="D26" i="6"/>
  <c r="D14" i="6"/>
  <c r="D9" i="6"/>
  <c r="L19" i="9"/>
  <c r="H25" i="6"/>
  <c r="H21" i="6"/>
  <c r="D19" i="6"/>
  <c r="D23" i="6"/>
  <c r="R23" i="6" s="1"/>
  <c r="D12" i="6"/>
  <c r="D13" i="6"/>
  <c r="H26" i="6"/>
  <c r="H20" i="6"/>
  <c r="C39" i="35"/>
  <c r="M3" i="35" s="1"/>
  <c r="C38" i="35"/>
  <c r="G52" i="21"/>
  <c r="H52" i="21" s="1"/>
  <c r="G53" i="21"/>
  <c r="H53" i="21" s="1"/>
  <c r="K27" i="6"/>
  <c r="M19" i="6"/>
  <c r="S6" i="1"/>
  <c r="L16" i="1"/>
  <c r="C34" i="11"/>
  <c r="N16" i="1"/>
  <c r="C34" i="68"/>
  <c r="I53" i="34"/>
  <c r="J53" i="34" s="1"/>
  <c r="I54" i="34"/>
  <c r="J54" i="34" s="1"/>
  <c r="AB7" i="34"/>
  <c r="T49" i="34" s="1"/>
  <c r="G49" i="34" s="1"/>
  <c r="U7" i="34"/>
  <c r="E47" i="37"/>
  <c r="F47" i="37" s="1"/>
  <c r="E46" i="37"/>
  <c r="F46" i="37" s="1"/>
  <c r="N46" i="36"/>
  <c r="O63" i="40"/>
  <c r="O65" i="40" s="1"/>
  <c r="N65" i="40"/>
  <c r="F7" i="40" s="1"/>
  <c r="E48" i="21"/>
  <c r="R49" i="21"/>
  <c r="C13" i="71"/>
  <c r="D14" i="71"/>
  <c r="G69" i="39"/>
  <c r="H67" i="39"/>
  <c r="E49" i="34"/>
  <c r="R50" i="34"/>
  <c r="C48" i="33"/>
  <c r="C49" i="33"/>
  <c r="F69" i="67"/>
  <c r="C26" i="15"/>
  <c r="C29" i="15" s="1"/>
  <c r="B2" i="43"/>
  <c r="C7" i="69"/>
  <c r="C5" i="69" s="1"/>
  <c r="C31" i="43"/>
  <c r="M37" i="43"/>
  <c r="C38" i="15"/>
  <c r="C66" i="67"/>
  <c r="J26" i="67"/>
  <c r="J29" i="67" s="1"/>
  <c r="J24" i="67"/>
  <c r="C66" i="15"/>
  <c r="B6" i="76"/>
  <c r="C14" i="67"/>
  <c r="C34" i="69"/>
  <c r="C17" i="67"/>
  <c r="D10" i="69"/>
  <c r="E6" i="76"/>
  <c r="Q37" i="43" l="1"/>
  <c r="C22" i="11"/>
  <c r="C31" i="11" s="1"/>
  <c r="P37" i="43"/>
  <c r="N37" i="43"/>
  <c r="C38" i="69"/>
  <c r="C35" i="69"/>
  <c r="C10" i="69"/>
  <c r="D19" i="69"/>
  <c r="C15" i="67"/>
  <c r="C18" i="67"/>
  <c r="AA7" i="40"/>
  <c r="R42" i="40" s="1"/>
  <c r="S7" i="40"/>
  <c r="C48" i="21"/>
  <c r="C49" i="21"/>
  <c r="C35" i="68"/>
  <c r="C38" i="68"/>
  <c r="E6" i="70"/>
  <c r="E2" i="70" s="1"/>
  <c r="AQ6" i="1"/>
  <c r="T6" i="1"/>
  <c r="T16" i="1" s="1"/>
  <c r="AR6" i="1"/>
  <c r="S16" i="1"/>
  <c r="D27" i="6"/>
  <c r="D31" i="6" s="1"/>
  <c r="R26" i="6"/>
  <c r="C4" i="52"/>
  <c r="B45" i="72" s="1"/>
  <c r="A10" i="51"/>
  <c r="B9" i="72" s="1"/>
  <c r="A7" i="51"/>
  <c r="B7" i="72" s="1"/>
  <c r="D16" i="6"/>
  <c r="R25" i="6"/>
  <c r="H7" i="40"/>
  <c r="J7" i="40"/>
  <c r="C21" i="12"/>
  <c r="C49" i="34"/>
  <c r="C50" i="34"/>
  <c r="H69" i="39"/>
  <c r="I67" i="39"/>
  <c r="C35" i="11"/>
  <c r="C38" i="11"/>
  <c r="E54" i="34"/>
  <c r="F54" i="34" s="1"/>
  <c r="E53" i="34"/>
  <c r="F53" i="34" s="1"/>
  <c r="C12" i="71"/>
  <c r="D13" i="71"/>
  <c r="I53" i="21"/>
  <c r="J53" i="21" s="1"/>
  <c r="E53" i="21"/>
  <c r="F53" i="21" s="1"/>
  <c r="E52" i="21"/>
  <c r="F52" i="21" s="1"/>
  <c r="O46" i="36"/>
  <c r="F7" i="36" s="1"/>
  <c r="G53" i="34"/>
  <c r="H53" i="34" s="1"/>
  <c r="G54" i="34"/>
  <c r="H54" i="34" s="1"/>
  <c r="F50" i="69"/>
  <c r="F50" i="68"/>
  <c r="F50" i="11"/>
  <c r="M27" i="6"/>
  <c r="I19" i="6"/>
  <c r="R24" i="6"/>
  <c r="R20" i="6"/>
  <c r="C10" i="68"/>
  <c r="D19" i="68"/>
  <c r="H7" i="36"/>
  <c r="B2" i="76"/>
  <c r="E2" i="76"/>
  <c r="C23" i="69"/>
  <c r="B3" i="43"/>
  <c r="C36" i="15"/>
  <c r="C57" i="15"/>
  <c r="C64" i="15" s="1"/>
  <c r="C13" i="15"/>
  <c r="J14" i="15"/>
  <c r="Q49" i="15"/>
  <c r="J59" i="15"/>
  <c r="J60" i="15" s="1"/>
  <c r="C33" i="11" l="1"/>
  <c r="C42" i="11" s="1"/>
  <c r="C19" i="67"/>
  <c r="C20" i="67" s="1"/>
  <c r="C26" i="67" s="1"/>
  <c r="C39" i="11"/>
  <c r="C43" i="11" s="1"/>
  <c r="D37" i="68"/>
  <c r="C37" i="68" s="1"/>
  <c r="C19" i="68"/>
  <c r="S19" i="6"/>
  <c r="S27" i="6" s="1"/>
  <c r="I27" i="6"/>
  <c r="H19" i="6"/>
  <c r="AB7" i="36"/>
  <c r="T36" i="36" s="1"/>
  <c r="G36" i="36" s="1"/>
  <c r="U7" i="36"/>
  <c r="J7" i="36"/>
  <c r="D12" i="71"/>
  <c r="U12" i="71" s="1"/>
  <c r="T12" i="71"/>
  <c r="C11" i="71"/>
  <c r="AC7" i="40"/>
  <c r="V42" i="40" s="1"/>
  <c r="I42" i="40" s="1"/>
  <c r="W7" i="40"/>
  <c r="I6" i="6"/>
  <c r="I5" i="6"/>
  <c r="E42" i="40"/>
  <c r="R43" i="40"/>
  <c r="D37" i="69"/>
  <c r="C37" i="69" s="1"/>
  <c r="C33" i="69" s="1"/>
  <c r="C19" i="69"/>
  <c r="AA7" i="36"/>
  <c r="R36" i="36" s="1"/>
  <c r="S7" i="36"/>
  <c r="J67" i="39"/>
  <c r="I69" i="39"/>
  <c r="C22" i="12"/>
  <c r="C30" i="12" s="1"/>
  <c r="C28" i="12" s="1"/>
  <c r="AB7" i="40"/>
  <c r="T42" i="40" s="1"/>
  <c r="G42" i="40" s="1"/>
  <c r="U7" i="40"/>
  <c r="C33" i="68"/>
  <c r="B3" i="21"/>
  <c r="B2" i="21"/>
  <c r="B3" i="76"/>
  <c r="Q48" i="15"/>
  <c r="L46" i="15"/>
  <c r="J13" i="15"/>
  <c r="J23" i="15" s="1"/>
  <c r="J22" i="15"/>
  <c r="Q70" i="15"/>
  <c r="C37" i="15"/>
  <c r="C30" i="15" s="1"/>
  <c r="C39" i="15" s="1"/>
  <c r="C56" i="15"/>
  <c r="C65" i="15" s="1"/>
  <c r="C58" i="15" s="1"/>
  <c r="C67" i="15" s="1"/>
  <c r="C68" i="15" s="1"/>
  <c r="C75" i="15"/>
  <c r="C19" i="9"/>
  <c r="C20" i="9"/>
  <c r="C23" i="67" l="1"/>
  <c r="C29" i="67" s="1"/>
  <c r="Q49" i="67" s="1"/>
  <c r="C41" i="11"/>
  <c r="C102" i="9"/>
  <c r="C21" i="9"/>
  <c r="C103" i="9"/>
  <c r="G47" i="40"/>
  <c r="H47" i="40" s="1"/>
  <c r="G46" i="40"/>
  <c r="H46" i="40" s="1"/>
  <c r="K67" i="39"/>
  <c r="J69" i="39"/>
  <c r="C39" i="69"/>
  <c r="C43" i="69" s="1"/>
  <c r="C42" i="69"/>
  <c r="C46" i="69"/>
  <c r="C45" i="69" s="1"/>
  <c r="E47" i="40"/>
  <c r="F47" i="40" s="1"/>
  <c r="E46" i="40"/>
  <c r="F46" i="40" s="1"/>
  <c r="AC7" i="36"/>
  <c r="V36" i="36" s="1"/>
  <c r="I36" i="36" s="1"/>
  <c r="W7" i="36"/>
  <c r="G40" i="36"/>
  <c r="H40" i="36" s="1"/>
  <c r="C20" i="68"/>
  <c r="C25" i="68" s="1"/>
  <c r="C24" i="68"/>
  <c r="C28" i="68"/>
  <c r="C27" i="68" s="1"/>
  <c r="C39" i="68"/>
  <c r="C43" i="68" s="1"/>
  <c r="C42" i="68"/>
  <c r="E36" i="36"/>
  <c r="R37" i="36"/>
  <c r="I46" i="40"/>
  <c r="J46" i="40" s="1"/>
  <c r="I47" i="40"/>
  <c r="J47" i="40" s="1"/>
  <c r="C27" i="12"/>
  <c r="C25" i="12" s="1"/>
  <c r="C32" i="12" s="1"/>
  <c r="B2" i="12" s="1"/>
  <c r="B3" i="12" s="1"/>
  <c r="C24" i="69"/>
  <c r="C20" i="69"/>
  <c r="C43" i="40"/>
  <c r="C42" i="40"/>
  <c r="C10" i="71"/>
  <c r="D11" i="71"/>
  <c r="H27" i="6"/>
  <c r="R19" i="6"/>
  <c r="C46" i="11"/>
  <c r="C45" i="11" s="1"/>
  <c r="C49" i="11" s="1"/>
  <c r="C51" i="11" s="1"/>
  <c r="J16" i="15"/>
  <c r="J25" i="15" s="1"/>
  <c r="C80" i="15"/>
  <c r="C79" i="15" s="1"/>
  <c r="C71" i="15"/>
  <c r="C40" i="15"/>
  <c r="Q69" i="15"/>
  <c r="Q68" i="15" s="1"/>
  <c r="L51" i="15"/>
  <c r="C46" i="68" l="1"/>
  <c r="C45" i="68" s="1"/>
  <c r="C13" i="67"/>
  <c r="Q70" i="67" s="1"/>
  <c r="C36" i="67"/>
  <c r="J14" i="67"/>
  <c r="J13" i="67" s="1"/>
  <c r="J23" i="67" s="1"/>
  <c r="C57" i="67"/>
  <c r="C64" i="67" s="1"/>
  <c r="C41" i="68"/>
  <c r="C52" i="11"/>
  <c r="B2" i="11" s="1"/>
  <c r="B3" i="11" s="1"/>
  <c r="R6" i="1"/>
  <c r="R27" i="6"/>
  <c r="C25" i="69"/>
  <c r="C28" i="69"/>
  <c r="C27" i="69" s="1"/>
  <c r="C37" i="36"/>
  <c r="C36" i="36"/>
  <c r="I40" i="36"/>
  <c r="J40" i="36" s="1"/>
  <c r="I41" i="36"/>
  <c r="J41" i="36" s="1"/>
  <c r="K69" i="39"/>
  <c r="L67" i="39"/>
  <c r="D10" i="71"/>
  <c r="C9" i="71"/>
  <c r="B58" i="40"/>
  <c r="F58" i="40" s="1"/>
  <c r="B54" i="40"/>
  <c r="F54" i="40" s="1"/>
  <c r="B53" i="40"/>
  <c r="F53" i="40" s="1"/>
  <c r="B59" i="40"/>
  <c r="F59" i="40" s="1"/>
  <c r="B52" i="40"/>
  <c r="F52" i="40" s="1"/>
  <c r="B56" i="40"/>
  <c r="F56" i="40" s="1"/>
  <c r="B60" i="40"/>
  <c r="F60" i="40" s="1"/>
  <c r="B57" i="40"/>
  <c r="F57" i="40" s="1"/>
  <c r="B51" i="40"/>
  <c r="F51" i="40" s="1"/>
  <c r="F61" i="40"/>
  <c r="B2" i="40" s="1"/>
  <c r="B3" i="40" s="1"/>
  <c r="C22" i="69"/>
  <c r="E40" i="36"/>
  <c r="F40" i="36" s="1"/>
  <c r="E41" i="36"/>
  <c r="F41" i="36" s="1"/>
  <c r="C22" i="68"/>
  <c r="C31" i="68" s="1"/>
  <c r="G41" i="36"/>
  <c r="H41" i="36" s="1"/>
  <c r="C41" i="69"/>
  <c r="C49" i="69" s="1"/>
  <c r="C51" i="69" s="1"/>
  <c r="J22" i="67"/>
  <c r="Q67" i="15"/>
  <c r="L57" i="15"/>
  <c r="L60" i="15" s="1"/>
  <c r="Q47" i="15"/>
  <c r="Q53" i="15" s="1"/>
  <c r="C43" i="15"/>
  <c r="Q56" i="15"/>
  <c r="B2" i="15"/>
  <c r="B3" i="15" s="1"/>
  <c r="Q65" i="15"/>
  <c r="C83" i="15"/>
  <c r="C82" i="15" s="1"/>
  <c r="C46" i="15"/>
  <c r="F35" i="67"/>
  <c r="M21" i="67"/>
  <c r="C49" i="68" l="1"/>
  <c r="C51" i="68" s="1"/>
  <c r="C52" i="68" s="1"/>
  <c r="B2" i="68" s="1"/>
  <c r="B3" i="68" s="1"/>
  <c r="C56" i="67"/>
  <c r="C65" i="67" s="1"/>
  <c r="C58" i="67" s="1"/>
  <c r="C67" i="67" s="1"/>
  <c r="C68" i="67" s="1"/>
  <c r="C71" i="67" s="1"/>
  <c r="J16" i="67"/>
  <c r="J25" i="67" s="1"/>
  <c r="C31" i="69"/>
  <c r="C52" i="69" s="1"/>
  <c r="B2" i="69" s="1"/>
  <c r="C75" i="67"/>
  <c r="C37" i="67"/>
  <c r="C30" i="67" s="1"/>
  <c r="C39" i="67" s="1"/>
  <c r="Q69" i="67" s="1"/>
  <c r="Q68" i="67" s="1"/>
  <c r="J20" i="67"/>
  <c r="F63" i="67"/>
  <c r="C8" i="71"/>
  <c r="D9" i="71"/>
  <c r="C56" i="11"/>
  <c r="C57" i="11" s="1"/>
  <c r="L69" i="39"/>
  <c r="M67" i="39"/>
  <c r="R16" i="1"/>
  <c r="Q66" i="15"/>
  <c r="Q75" i="15" s="1"/>
  <c r="Q57" i="15"/>
  <c r="Q62" i="15" s="1"/>
  <c r="B3" i="69"/>
  <c r="C57" i="68" l="1"/>
  <c r="C56" i="68" s="1"/>
  <c r="C80" i="67"/>
  <c r="C79" i="67" s="1"/>
  <c r="C40" i="67"/>
  <c r="D2" i="67" s="1"/>
  <c r="C57" i="69"/>
  <c r="C56" i="69" s="1"/>
  <c r="M69" i="39"/>
  <c r="N67" i="39"/>
  <c r="C7" i="71"/>
  <c r="D8" i="71"/>
  <c r="L51" i="67"/>
  <c r="C45" i="67" l="1"/>
  <c r="C46" i="67" s="1"/>
  <c r="Q47" i="67"/>
  <c r="Q53" i="67" s="1"/>
  <c r="Q67" i="67"/>
  <c r="L57" i="67"/>
  <c r="Q56" i="67"/>
  <c r="Q62" i="67" s="1"/>
  <c r="C43" i="67"/>
  <c r="C83" i="67"/>
  <c r="C82" i="67" s="1"/>
  <c r="Q65" i="67"/>
  <c r="Q75" i="67" s="1"/>
  <c r="C6" i="71"/>
  <c r="D7" i="71"/>
  <c r="B2" i="67"/>
  <c r="B3" i="67"/>
  <c r="O67" i="39"/>
  <c r="O69" i="39" s="1"/>
  <c r="N69" i="39"/>
  <c r="D19" i="9"/>
  <c r="AO6" i="1"/>
  <c r="D20" i="9"/>
  <c r="G20" i="9" l="1"/>
  <c r="E26" i="9" s="1"/>
  <c r="E27" i="9" s="1"/>
  <c r="E28" i="9" s="1"/>
  <c r="D103" i="9"/>
  <c r="B6" i="70"/>
  <c r="B2" i="70" s="1"/>
  <c r="B3" i="70" s="1"/>
  <c r="D21" i="9"/>
  <c r="D22" i="9"/>
  <c r="D102" i="9"/>
  <c r="G19" i="9"/>
  <c r="G21" i="9" s="1"/>
  <c r="F7" i="39"/>
  <c r="H7" i="39"/>
  <c r="J7" i="39"/>
  <c r="D6" i="71"/>
  <c r="C5" i="71"/>
  <c r="W7" i="39" l="1"/>
  <c r="AC7" i="39"/>
  <c r="V47" i="39" s="1"/>
  <c r="I47" i="39" s="1"/>
  <c r="S7" i="39"/>
  <c r="AA7" i="39"/>
  <c r="R47" i="39" s="1"/>
  <c r="D5" i="71"/>
  <c r="M24" i="43"/>
  <c r="U7" i="39"/>
  <c r="AB7" i="39"/>
  <c r="T47" i="39" s="1"/>
  <c r="G47" i="39" s="1"/>
  <c r="E14" i="74"/>
  <c r="D14" i="74" s="1"/>
  <c r="C32" i="9"/>
  <c r="C35" i="9" s="1"/>
  <c r="C34" i="9" s="1"/>
  <c r="E47" i="39" l="1"/>
  <c r="R48" i="39"/>
  <c r="I51" i="39"/>
  <c r="J51" i="39" s="1"/>
  <c r="I52" i="39"/>
  <c r="J52" i="39" s="1"/>
  <c r="G51" i="39"/>
  <c r="H51" i="39" s="1"/>
  <c r="G52" i="39"/>
  <c r="H52" i="39" s="1"/>
  <c r="F14" i="74"/>
  <c r="B5" i="74"/>
  <c r="D5" i="74" s="1"/>
  <c r="C47" i="39" l="1"/>
  <c r="C48" i="39"/>
  <c r="E52" i="39"/>
  <c r="F52" i="39" s="1"/>
  <c r="E51" i="39"/>
  <c r="F51" i="39" s="1"/>
  <c r="B56" i="39" l="1"/>
  <c r="F56" i="39" s="1"/>
  <c r="F65" i="39" s="1"/>
  <c r="B2" i="39" s="1"/>
  <c r="B3" i="39" s="1"/>
  <c r="B63" i="39"/>
  <c r="F63" i="39" s="1"/>
  <c r="B64" i="39"/>
  <c r="F64" i="39" s="1"/>
  <c r="B60" i="39"/>
  <c r="F60" i="39" s="1"/>
  <c r="B61" i="39"/>
  <c r="F61" i="39" s="1"/>
  <c r="B57" i="39"/>
  <c r="F57" i="39" s="1"/>
  <c r="B58" i="39"/>
  <c r="F58" i="39" s="1"/>
  <c r="B62" i="39"/>
  <c r="F62" i="39" s="1"/>
  <c r="B59" i="39"/>
  <c r="F59" i="39" s="1"/>
  <c r="B49" i="72"/>
  <c r="D5" i="52"/>
  <c r="D119" i="9"/>
  <c r="M55" i="9"/>
  <c r="D59" i="9"/>
  <c r="D54" i="9"/>
  <c r="C64" i="9"/>
  <c r="C63" i="9"/>
  <c r="C67" i="9"/>
  <c r="C68" i="9"/>
  <c r="B21" i="72"/>
  <c r="D7" i="53"/>
  <c r="B53" i="72"/>
  <c r="F5" i="52"/>
  <c r="F119" i="9"/>
  <c r="B31" i="72"/>
  <c r="D15" i="53"/>
  <c r="B47" i="72"/>
  <c r="D118" i="9"/>
  <c r="D4" i="52"/>
  <c r="B51" i="72"/>
  <c r="F4" i="52"/>
  <c r="B30" i="72"/>
  <c r="E97" i="9"/>
  <c r="E96" i="9"/>
  <c r="C96" i="9"/>
  <c r="M54" i="9"/>
  <c r="C85" i="9"/>
  <c r="C95" i="9"/>
  <c r="C97" i="9"/>
  <c r="D58" i="9"/>
  <c r="D56" i="9"/>
  <c r="C73" i="9"/>
  <c r="C78" i="9"/>
  <c r="H4" i="52"/>
  <c r="C104" i="9"/>
  <c r="F118" i="9"/>
  <c r="G118" i="9"/>
  <c r="G4" i="52"/>
  <c r="B52" i="72"/>
  <c r="D9" i="52"/>
  <c r="D123" i="9"/>
  <c r="H102" i="9"/>
  <c r="C5" i="74"/>
  <c r="E118" i="9"/>
  <c r="E4" i="52"/>
  <c r="B48" i="72"/>
  <c r="B22" i="72"/>
  <c r="D6" i="53"/>
  <c r="D122" i="9"/>
  <c r="D8" i="52"/>
  <c r="H108" i="9"/>
  <c r="C6" i="74"/>
  <c r="D53" i="9"/>
  <c r="D52" i="9"/>
  <c r="H107" i="9"/>
  <c r="D13" i="53"/>
  <c r="D14" i="53"/>
  <c r="B32" i="72"/>
  <c r="H119" i="9"/>
  <c r="H5" i="52"/>
  <c r="C105" i="9"/>
  <c r="I4" i="52"/>
  <c r="N60" i="9"/>
  <c r="N59" i="9"/>
  <c r="N61" i="9"/>
  <c r="D5" i="53"/>
  <c r="B20" i="72"/>
  <c r="M48" i="9"/>
  <c r="N58" i="9"/>
  <c r="D55" i="9"/>
  <c r="M53" i="9"/>
  <c r="N57" i="9"/>
  <c r="P57" i="9"/>
  <c r="C93" i="9"/>
  <c r="C86"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<sst xmlns="http://schemas.openxmlformats.org/spreadsheetml/2006/main" count="7959" uniqueCount="3456">
  <si>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</si>
  <si>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</si>
  <si>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</si>
  <si>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</si>
  <si>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</si>
  <si>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</si>
  <si>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</si>
  <si>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</si>
  <si>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</si>
  <si>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</si>
  <si>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</si>
  <si>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</si>
  <si>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</si>
  <si>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</si>
  <si>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</si>
  <si>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</si>
  <si>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</si>
  <si>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</si>
  <si>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</si>
  <si>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</si>
  <si>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</si>
  <si>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</si>
  <si>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</si>
  <si>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</si>
  <si>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</si>
  <si>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</si>
  <si>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</si>
  <si>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</si>
  <si>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</si>
  <si>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</si>
  <si>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</si>
  <si>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</si>
  <si>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</si>
  <si>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</si>
  <si>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</si>
  <si>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</si>
  <si>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</si>
  <si>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</si>
  <si>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</si>
  <si>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</si>
  <si>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</si>
  <si>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</si>
  <si>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</si>
  <si>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</si>
  <si>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</si>
  <si>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</si>
  <si>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</si>
  <si>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</si>
  <si>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</si>
  <si>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</si>
  <si>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</si>
  <si>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</si>
  <si>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</si>
  <si>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</si>
  <si>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</si>
  <si>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</si>
  <si>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</si>
  <si>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</si>
  <si>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</si>
  <si>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</si>
  <si>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</si>
  <si>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</si>
  <si>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</si>
  <si>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</si>
  <si>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</si>
  <si>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</si>
  <si>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</si>
  <si>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</si>
  <si>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</si>
  <si>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</si>
  <si>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</si>
  <si>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</si>
  <si>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</si>
  <si>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</si>
  <si>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</si>
  <si>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</si>
  <si>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</si>
  <si>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</si>
  <si>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</si>
  <si>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</si>
  <si>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</si>
  <si>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</si>
  <si>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</si>
  <si>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</si>
  <si>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</si>
  <si>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</si>
  <si>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</si>
  <si>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</si>
  <si>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</si>
  <si>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</si>
  <si>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</si>
  <si>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</si>
  <si>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</si>
  <si>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</si>
  <si>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</si>
  <si>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</si>
  <si>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</si>
  <si>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</si>
  <si>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</si>
  <si>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</si>
  <si>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</si>
  <si>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</si>
  <si>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</si>
  <si>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</si>
  <si>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</si>
  <si>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</si>
  <si>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</si>
  <si>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</si>
  <si>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</si>
  <si>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</si>
  <si>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</si>
  <si>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</si>
  <si>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</si>
  <si>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</si>
  <si>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</si>
  <si>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</si>
  <si>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</si>
  <si>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</si>
  <si>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</si>
  <si>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</si>
  <si>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</si>
  <si>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</si>
  <si>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</si>
  <si>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</si>
  <si>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</si>
  <si>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</si>
  <si>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</si>
  <si>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</si>
  <si>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</si>
  <si>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</si>
  <si>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</si>
  <si>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</si>
  <si>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</si>
  <si>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</si>
  <si>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</si>
  <si>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</si>
  <si>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</si>
  <si>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</si>
  <si>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</si>
  <si>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</si>
  <si>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</si>
  <si>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</si>
  <si>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</si>
  <si>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</si>
  <si>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</si>
  <si>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</si>
  <si>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</si>
  <si>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</si>
  <si>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</si>
  <si>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</si>
  <si>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</si>
  <si>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</si>
  <si>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</si>
  <si>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</si>
  <si>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</si>
  <si>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</si>
  <si>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</si>
  <si>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</si>
  <si>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</si>
  <si>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</si>
  <si>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</si>
  <si>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</si>
  <si>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</si>
  <si>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</si>
  <si>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</si>
  <si>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</si>
  <si>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</si>
  <si>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</si>
  <si>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</si>
  <si>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</si>
  <si>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</si>
  <si>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</si>
  <si>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</si>
  <si>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</si>
  <si>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</si>
  <si>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</si>
  <si>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</si>
  <si>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</si>
  <si>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</si>
  <si>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</si>
  <si>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</si>
  <si>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</si>
  <si>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</si>
  <si>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</si>
  <si>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</si>
  <si>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</si>
  <si>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</si>
  <si>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</si>
  <si>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</si>
  <si>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</si>
  <si>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</si>
  <si>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</si>
  <si>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</si>
  <si>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</si>
  <si>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</si>
  <si>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</si>
  <si>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</si>
  <si>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</si>
  <si>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</si>
  <si>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</si>
  <si>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</si>
  <si>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</si>
  <si>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</si>
  <si>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</si>
  <si>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</si>
  <si>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</si>
  <si>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</si>
  <si>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</si>
  <si>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</si>
  <si>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</si>
  <si>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</si>
  <si>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</si>
  <si>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</si>
  <si>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</si>
  <si>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</si>
  <si>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</si>
  <si>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</si>
  <si>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</si>
  <si>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</si>
  <si>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</si>
  <si>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</si>
  <si>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</si>
  <si>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</si>
  <si>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</si>
  <si>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</si>
  <si>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</si>
  <si>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</si>
  <si>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</si>
  <si>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</si>
  <si>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</si>
  <si>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</si>
  <si>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</si>
  <si>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</si>
  <si>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</si>
  <si>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</si>
  <si>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</si>
  <si>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</si>
  <si>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</si>
  <si>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</si>
  <si>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</si>
  <si>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</si>
  <si>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</si>
  <si>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</si>
  <si>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</si>
  <si>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</si>
  <si>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</si>
  <si>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</si>
  <si>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</si>
  <si>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</si>
  <si>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</si>
  <si>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</si>
  <si>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</si>
  <si>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</si>
  <si>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</si>
  <si>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</si>
  <si>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</si>
  <si>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</si>
  <si>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</si>
  <si>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</si>
  <si>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</si>
  <si>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</si>
  <si>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</si>
  <si>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</si>
  <si>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</si>
  <si>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</si>
  <si>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</si>
  <si>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</si>
  <si>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</si>
  <si>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</si>
  <si>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</si>
  <si>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</si>
  <si>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</si>
  <si>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</si>
  <si>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</si>
  <si>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</si>
  <si>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</si>
  <si>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</si>
  <si>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</si>
  <si>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</si>
  <si>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</si>
  <si>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</si>
  <si>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</si>
  <si>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</si>
  <si>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</si>
  <si>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</si>
  <si>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</si>
  <si>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</si>
  <si>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</si>
  <si>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</si>
  <si>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</si>
  <si>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</si>
  <si>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</si>
  <si>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</si>
  <si>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</si>
  <si>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</si>
  <si>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</si>
  <si>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</si>
  <si>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</si>
  <si>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</si>
  <si>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</si>
  <si>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</si>
  <si>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</si>
  <si>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</si>
  <si>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</si>
  <si>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</si>
  <si>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</si>
  <si>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</si>
  <si>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</si>
  <si>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</si>
  <si>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</si>
  <si>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</si>
  <si>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</si>
  <si>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</si>
  <si>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</si>
  <si>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</si>
  <si>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</si>
  <si>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</si>
  <si>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</si>
  <si>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</si>
  <si>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</si>
  <si>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</si>
  <si>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</si>
  <si>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</si>
  <si>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</si>
  <si>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</si>
  <si>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</si>
  <si>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</si>
  <si>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</si>
  <si>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</si>
  <si>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</si>
  <si>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</si>
  <si>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</si>
  <si>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</si>
  <si>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</si>
  <si>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</si>
  <si>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</si>
  <si>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</si>
  <si>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</si>
  <si>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</si>
  <si>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</si>
  <si>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</si>
  <si>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</si>
  <si>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</si>
  <si>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</si>
  <si>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</si>
  <si>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</si>
  <si>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</si>
  <si>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</si>
  <si>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</si>
  <si>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</si>
  <si>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</si>
  <si>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</si>
  <si>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</si>
  <si>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</si>
  <si>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</si>
  <si>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</si>
  <si>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</si>
  <si>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</si>
  <si>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</si>
  <si>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</si>
  <si>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</si>
  <si>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</si>
  <si>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</si>
  <si>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</si>
  <si>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</si>
  <si>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</si>
  <si>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</si>
  <si>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</si>
  <si>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</si>
  <si>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</si>
  <si>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</si>
  <si>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</si>
  <si>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</si>
  <si>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</si>
  <si>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</si>
  <si>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</si>
  <si>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</si>
  <si>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</si>
  <si>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</si>
  <si>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</si>
  <si>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</si>
  <si>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</si>
  <si>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</si>
  <si>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</si>
  <si>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</si>
  <si>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</si>
  <si>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</si>
  <si>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</si>
  <si>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</si>
  <si>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</si>
  <si>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</si>
  <si>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</si>
  <si>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</si>
  <si>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</si>
  <si>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</si>
  <si>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</si>
  <si>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</si>
  <si>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</si>
  <si>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</si>
  <si>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</si>
  <si>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</si>
  <si>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</si>
  <si>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</si>
  <si>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</si>
  <si>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</si>
  <si>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</si>
  <si>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</si>
  <si>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</si>
  <si>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</si>
  <si>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</si>
  <si>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</si>
  <si>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</si>
  <si>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</si>
  <si>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</si>
  <si>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</si>
  <si>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</si>
  <si>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</si>
  <si>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</si>
  <si>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</si>
  <si>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</si>
  <si>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</si>
  <si>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</si>
  <si>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</si>
  <si>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</si>
  <si>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</si>
  <si>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</si>
  <si>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</si>
  <si>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</si>
  <si>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</si>
  <si>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</si>
  <si>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</si>
  <si>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</si>
  <si>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</si>
  <si>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</si>
  <si>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</si>
  <si>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</si>
  <si>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</si>
  <si>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</si>
  <si>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</si>
  <si>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</si>
  <si>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</si>
  <si>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</si>
  <si>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</si>
  <si>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</si>
  <si>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</si>
  <si>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</si>
  <si>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</si>
  <si>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</si>
  <si>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</si>
  <si>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</si>
  <si>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</si>
  <si>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</si>
  <si>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</si>
  <si>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</si>
  <si>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</si>
  <si>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</si>
  <si>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</si>
  <si>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</si>
  <si>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</si>
  <si>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</si>
  <si>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</si>
  <si>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</si>
  <si>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</si>
  <si>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</si>
  <si>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</si>
  <si>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</si>
  <si>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</si>
  <si>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</si>
  <si>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</si>
  <si>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</si>
  <si>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</si>
  <si>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</si>
  <si>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</si>
  <si>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</si>
  <si>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</si>
  <si>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</si>
  <si>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</si>
  <si>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</si>
  <si>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</si>
  <si>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</si>
  <si>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</si>
  <si>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</si>
  <si>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</si>
  <si>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</si>
  <si>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</si>
  <si>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</si>
  <si>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</si>
  <si>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</si>
  <si>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</si>
  <si>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</si>
  <si>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</si>
  <si>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</si>
  <si>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</si>
  <si>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</si>
  <si>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</si>
  <si>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</si>
  <si>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</si>
  <si>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</si>
  <si>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</si>
  <si>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</si>
  <si>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</si>
  <si>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</si>
  <si>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</si>
  <si>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</si>
  <si>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</si>
  <si>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</si>
  <si>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</si>
  <si>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</si>
  <si>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</si>
  <si>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</si>
  <si>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</si>
  <si>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</si>
  <si>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</si>
  <si>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</si>
  <si>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</si>
  <si>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</si>
  <si>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</si>
  <si>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</si>
  <si>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</si>
  <si>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</si>
  <si>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</si>
  <si>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</si>
  <si>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</si>
  <si>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</si>
  <si>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</si>
  <si>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</si>
  <si>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</si>
  <si>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</si>
  <si>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</si>
  <si>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</si>
  <si>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</si>
  <si>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</si>
  <si>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</si>
  <si>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</si>
  <si>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</si>
  <si>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</si>
  <si>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</si>
  <si>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</si>
  <si>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</si>
  <si>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</si>
  <si>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</si>
  <si>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</si>
  <si>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</si>
  <si>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</si>
  <si>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</si>
  <si>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</si>
  <si>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</si>
  <si>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</si>
  <si>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</si>
  <si>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</si>
  <si>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</si>
  <si>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</si>
  <si>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</si>
  <si>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</si>
  <si>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</si>
  <si>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</si>
  <si>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</si>
  <si>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</si>
  <si>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</si>
  <si>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</si>
  <si>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</si>
  <si>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</si>
  <si>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</si>
  <si>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</si>
  <si>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</si>
  <si>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</si>
  <si>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</si>
  <si>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</si>
  <si>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</si>
  <si>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</si>
  <si>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</si>
  <si>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</si>
  <si>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</si>
  <si>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</si>
  <si>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</si>
  <si>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</si>
  <si>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</si>
  <si>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</si>
  <si>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</si>
  <si>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</si>
  <si>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</si>
  <si>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</si>
  <si>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</si>
  <si>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</si>
  <si>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</si>
  <si>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</si>
  <si>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</si>
  <si>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</si>
  <si>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</si>
  <si>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</si>
  <si>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</si>
  <si>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</si>
  <si>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</si>
  <si>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</si>
  <si>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</si>
  <si>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</si>
  <si>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</si>
  <si>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</si>
  <si>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</si>
  <si>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</si>
  <si>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</si>
  <si>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</si>
  <si>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</si>
  <si>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</si>
  <si>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</si>
  <si>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</si>
  <si>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</si>
  <si>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</si>
  <si>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</si>
  <si>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</si>
  <si>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</si>
  <si>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</si>
  <si>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</si>
  <si>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</si>
  <si>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</si>
  <si>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</si>
  <si>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</si>
  <si>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</si>
  <si>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</si>
  <si>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</si>
  <si>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</si>
  <si>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</si>
  <si>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</si>
  <si>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</si>
  <si>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</si>
  <si>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</si>
  <si>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</si>
  <si>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</si>
  <si>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</si>
  <si>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</si>
  <si>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</si>
  <si>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</si>
  <si>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</si>
  <si>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</si>
  <si>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</si>
  <si>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</si>
  <si>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</si>
  <si>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</si>
  <si>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</si>
  <si>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</si>
  <si>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</si>
  <si>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</si>
  <si>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</si>
  <si>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</si>
  <si>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</si>
  <si>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</si>
  <si>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</si>
  <si>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</si>
  <si>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</si>
  <si>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</si>
  <si>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</si>
  <si>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</si>
  <si>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</si>
  <si>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</si>
  <si>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</si>
  <si>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</si>
  <si>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</si>
  <si>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</si>
  <si>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</si>
  <si>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</si>
  <si>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</si>
  <si>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</si>
  <si>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</si>
  <si>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</si>
  <si>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</si>
  <si>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</si>
  <si>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</si>
  <si>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</si>
  <si>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</si>
  <si>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</si>
  <si>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</si>
  <si>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</si>
  <si>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</si>
  <si>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</si>
  <si>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</si>
  <si>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</si>
  <si>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</si>
  <si>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</si>
  <si>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</si>
  <si>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</si>
  <si>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</si>
  <si>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</si>
  <si>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</si>
  <si>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</si>
  <si>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</si>
  <si>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</si>
  <si>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</si>
  <si>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</si>
  <si>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</si>
  <si>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</si>
  <si>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</si>
  <si>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</si>
  <si>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</si>
  <si>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</si>
  <si>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</si>
  <si>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</si>
  <si>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</si>
  <si>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</si>
  <si>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</si>
  <si>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</si>
  <si>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</si>
  <si>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</si>
  <si>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</si>
  <si>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</si>
  <si>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</si>
  <si>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</si>
  <si>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</si>
  <si>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</si>
  <si>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</si>
  <si>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</si>
  <si>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</si>
  <si>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</si>
  <si>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</si>
  <si>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</si>
  <si>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</si>
  <si>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</si>
  <si>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</si>
  <si>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</si>
  <si>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</si>
  <si>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</si>
  <si>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</si>
  <si>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</si>
  <si>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</si>
  <si>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</si>
  <si>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</si>
  <si>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</si>
  <si>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</si>
  <si>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</si>
  <si>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</si>
  <si>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</si>
  <si>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</si>
  <si>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</si>
  <si>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</si>
  <si>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</si>
  <si>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</si>
  <si>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</si>
  <si>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</si>
  <si>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</si>
  <si>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</si>
  <si>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</si>
  <si>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</si>
  <si>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</si>
  <si>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</si>
  <si>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</si>
  <si>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</si>
  <si>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</si>
  <si>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</si>
  <si>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</si>
  <si>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</si>
  <si>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</si>
  <si>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</si>
  <si>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</si>
  <si>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</si>
  <si>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</si>
  <si>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</si>
  <si>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</si>
  <si>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</si>
  <si>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</si>
  <si>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</si>
  <si>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</si>
  <si>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</si>
  <si>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</si>
  <si>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</si>
  <si>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</si>
  <si>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</si>
  <si>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</si>
  <si>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</si>
  <si>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</si>
  <si>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</si>
  <si>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</si>
  <si>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</si>
  <si>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</si>
  <si>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</si>
  <si>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</si>
  <si>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</si>
  <si>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</si>
  <si>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</si>
  <si>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</si>
  <si>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</si>
  <si>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</si>
  <si>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</si>
  <si>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</si>
  <si>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</si>
  <si>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</si>
  <si>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</si>
  <si>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</si>
  <si>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</si>
  <si>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</si>
  <si>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</si>
  <si>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</si>
  <si>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</si>
  <si>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</si>
  <si>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</si>
  <si>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</si>
  <si>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</si>
  <si>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</si>
  <si>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</si>
  <si>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</si>
  <si>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</si>
  <si>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</si>
  <si>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</si>
  <si>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</si>
  <si>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</si>
  <si>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</si>
  <si>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</si>
  <si>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</si>
  <si>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</si>
  <si>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</si>
  <si>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</si>
  <si>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</si>
  <si>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</si>
  <si>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</si>
  <si>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</si>
  <si>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</si>
  <si>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</si>
  <si>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</si>
  <si>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</si>
  <si>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</si>
  <si>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</si>
  <si>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</si>
  <si>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</si>
  <si>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</si>
  <si>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</si>
  <si>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</si>
  <si>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</si>
  <si>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</si>
  <si>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</si>
  <si>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</si>
  <si>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</si>
  <si>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</si>
  <si>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</si>
  <si>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</si>
  <si>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</si>
  <si>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</si>
  <si>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</si>
  <si>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</si>
  <si>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</si>
  <si>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</si>
  <si>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</si>
  <si>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</si>
  <si>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</si>
  <si>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</si>
  <si>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</si>
  <si>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</si>
  <si>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</si>
  <si>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</si>
  <si>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</si>
  <si>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</si>
  <si>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</si>
  <si>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</si>
  <si>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</si>
  <si>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</si>
  <si>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</si>
  <si>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</si>
  <si>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</si>
  <si>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</si>
  <si>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</si>
  <si>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</si>
  <si>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</si>
  <si>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</si>
  <si>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</si>
  <si>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</si>
  <si>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</si>
  <si>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</si>
  <si>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</si>
  <si>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</si>
  <si>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</si>
  <si>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</si>
  <si>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</si>
  <si>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</si>
  <si>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</si>
  <si>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</si>
  <si>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</si>
  <si>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</si>
  <si>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</si>
  <si>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</si>
  <si>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</si>
  <si>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</si>
  <si>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</si>
  <si>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</si>
  <si>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</si>
  <si>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</si>
  <si>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</si>
  <si>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</si>
  <si>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</si>
  <si>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</si>
  <si>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</si>
  <si>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</si>
  <si>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</si>
  <si>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</si>
  <si>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</si>
  <si>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</si>
  <si>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</si>
  <si>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</si>
  <si>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</si>
  <si>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</si>
  <si>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</si>
  <si>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</si>
  <si>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</si>
  <si>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</si>
  <si>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</si>
  <si>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</si>
  <si>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</si>
  <si>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</si>
  <si>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</si>
  <si>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</si>
  <si>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</si>
  <si>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</si>
  <si>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</si>
  <si>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</si>
  <si>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</si>
  <si>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</si>
  <si>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</si>
  <si>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</si>
  <si>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</si>
  <si>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</si>
  <si>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</si>
  <si>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</si>
  <si>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</si>
  <si>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</si>
  <si>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</si>
  <si>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</si>
  <si>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</si>
  <si>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</si>
  <si>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</si>
  <si>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</si>
  <si>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</si>
  <si>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</si>
  <si>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</si>
  <si>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</si>
  <si>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</si>
  <si>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</si>
  <si>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</si>
  <si>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</si>
  <si>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</si>
  <si>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</si>
  <si>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</si>
  <si>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</si>
  <si>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</si>
  <si>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</si>
  <si>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</si>
  <si>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</si>
  <si>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</si>
  <si>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</si>
  <si>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</si>
  <si>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</si>
  <si>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</si>
  <si>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</si>
  <si>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</si>
  <si>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</si>
  <si>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</si>
  <si>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</si>
  <si>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</si>
  <si>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</si>
  <si>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</si>
  <si>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</si>
  <si>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</si>
  <si>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</si>
  <si>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</si>
  <si>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</si>
  <si>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</si>
  <si>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</si>
  <si>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</si>
  <si>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</si>
  <si>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</si>
  <si>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</si>
  <si>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</si>
  <si>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</si>
  <si>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</si>
  <si>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</si>
  <si>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</si>
  <si>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</si>
  <si>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</si>
  <si>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</si>
  <si>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</si>
  <si>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</si>
  <si>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</si>
  <si>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</si>
  <si>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</si>
  <si>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</si>
  <si>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</si>
  <si>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</si>
  <si>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</si>
  <si>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</si>
  <si>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</si>
  <si>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</si>
  <si>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</si>
  <si>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</si>
  <si>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</si>
  <si>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</si>
  <si>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</si>
  <si>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</si>
  <si>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</si>
  <si>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</si>
  <si>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</si>
  <si>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</si>
  <si>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</si>
  <si>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</si>
  <si>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</si>
  <si>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</si>
  <si>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</si>
  <si>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</si>
  <si>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</si>
  <si>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</si>
  <si>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</si>
  <si>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</si>
  <si>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</si>
  <si>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</si>
  <si>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</si>
  <si>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</si>
  <si>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</si>
  <si>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</si>
  <si>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</si>
  <si>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</si>
  <si>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</si>
  <si>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</si>
  <si>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</si>
  <si>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</si>
  <si>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</si>
  <si>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</si>
  <si>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</si>
  <si>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</si>
  <si>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</si>
  <si>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</si>
  <si>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</si>
  <si>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</si>
  <si>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</si>
  <si>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</si>
  <si>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</si>
  <si>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</si>
  <si>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</si>
  <si>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</si>
  <si>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</si>
  <si>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</si>
  <si>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</si>
  <si>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</si>
  <si>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</si>
  <si>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</si>
  <si>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</si>
  <si>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</si>
  <si>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</si>
  <si>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</si>
  <si>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</si>
  <si>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</si>
  <si>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</si>
  <si>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</si>
  <si>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</si>
  <si>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</si>
  <si>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</si>
  <si>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</si>
  <si>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</si>
  <si>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</si>
  <si>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</si>
  <si>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</si>
  <si>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</si>
  <si>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</si>
  <si>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</si>
  <si>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</si>
  <si>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</si>
  <si>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</si>
  <si>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</si>
  <si>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</si>
  <si>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</si>
  <si>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</si>
  <si>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</si>
  <si>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</si>
  <si>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</si>
  <si>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</si>
  <si>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</si>
  <si>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</si>
  <si>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</si>
  <si>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</si>
  <si>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</si>
  <si>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</si>
  <si>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</si>
  <si>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</si>
  <si>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</si>
  <si>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</si>
  <si>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</si>
  <si>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</si>
  <si>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</si>
  <si>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</si>
  <si>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</si>
  <si>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</si>
  <si>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</si>
  <si>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</si>
  <si>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</si>
  <si>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</si>
  <si>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</si>
  <si>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</si>
  <si>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</si>
  <si>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</si>
  <si>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</si>
  <si>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</si>
  <si>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</si>
  <si>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</si>
  <si>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</si>
  <si>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</si>
  <si>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</si>
  <si>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</si>
  <si>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</si>
  <si>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</si>
  <si>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</si>
  <si>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</si>
  <si>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</si>
  <si>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</si>
  <si>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</si>
  <si>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</si>
  <si>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</si>
  <si>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</si>
  <si>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</si>
  <si>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</si>
  <si>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</si>
  <si>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</si>
  <si>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</si>
  <si>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</si>
  <si>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</si>
  <si>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</si>
  <si>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</si>
  <si>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</si>
  <si>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</si>
  <si>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</si>
  <si>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</si>
  <si>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</si>
  <si>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</si>
  <si>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</si>
  <si>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</si>
  <si>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</si>
  <si>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</si>
  <si>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</si>
  <si>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</si>
  <si>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</si>
  <si>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</si>
  <si>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</si>
  <si>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</si>
  <si>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</si>
  <si>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</si>
  <si>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</si>
  <si>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</si>
  <si>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</si>
  <si>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</si>
  <si>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</si>
  <si>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</si>
  <si>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</si>
  <si>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</si>
  <si>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</si>
  <si>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</si>
  <si>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</si>
  <si>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</si>
  <si>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</si>
  <si>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</si>
  <si>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</si>
  <si>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</si>
  <si>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</si>
  <si>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</si>
  <si>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</si>
  <si>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</si>
  <si>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</si>
  <si>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</si>
  <si>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</si>
  <si>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</si>
  <si>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</si>
  <si>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</si>
  <si>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</si>
  <si>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</si>
  <si>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</si>
  <si>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</si>
  <si>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</si>
  <si>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</si>
  <si>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</si>
  <si>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</si>
  <si>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</si>
  <si>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</si>
  <si>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</si>
  <si>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</si>
  <si>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</si>
  <si>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</si>
  <si>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</si>
  <si>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</si>
  <si>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</si>
  <si>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</si>
  <si>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</si>
  <si>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</si>
  <si>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</si>
  <si>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</si>
  <si>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</si>
  <si>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</si>
  <si>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</si>
  <si>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</si>
  <si>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</si>
  <si>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</si>
  <si>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</si>
  <si>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</si>
  <si>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</si>
  <si>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</si>
  <si>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</si>
  <si>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</si>
  <si>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</si>
  <si>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</si>
  <si>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</si>
  <si>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</si>
  <si>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</si>
  <si>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</si>
  <si>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</si>
  <si>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</si>
  <si>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</si>
  <si>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</si>
  <si>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</si>
  <si>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</si>
  <si>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</si>
  <si>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</si>
  <si>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</si>
  <si>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</si>
  <si>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</si>
  <si>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</si>
  <si>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</si>
  <si>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</si>
  <si>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</si>
  <si>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</si>
  <si>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</si>
  <si>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</si>
  <si>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</si>
  <si>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</si>
  <si>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</si>
  <si>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</si>
  <si>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</si>
  <si>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</si>
  <si>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</si>
  <si>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</si>
  <si>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</si>
  <si>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</si>
  <si>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</si>
  <si>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</si>
  <si>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</si>
  <si>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</si>
  <si>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</si>
  <si>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</si>
  <si>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</si>
  <si>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</si>
  <si>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</si>
  <si>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</si>
  <si>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</si>
  <si>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</si>
  <si>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</si>
  <si>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</si>
  <si>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</si>
  <si>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</si>
  <si>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</si>
  <si>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</si>
  <si>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</si>
  <si>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</si>
  <si>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</si>
  <si>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</si>
  <si>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</si>
  <si>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</si>
  <si>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</si>
  <si>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</si>
  <si>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</si>
  <si>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</si>
  <si>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</si>
  <si>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</si>
  <si>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</si>
  <si>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</si>
  <si>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</si>
  <si>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</si>
  <si>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</si>
  <si>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</si>
  <si>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</si>
  <si>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</si>
  <si>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</si>
  <si>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</si>
  <si>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</si>
  <si>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</si>
  <si>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</si>
  <si>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</si>
  <si>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</si>
  <si>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</si>
  <si>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</si>
  <si>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</si>
  <si>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</si>
  <si>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</si>
  <si>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</si>
  <si>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</si>
  <si>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</si>
  <si>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</si>
  <si>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</si>
  <si>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</si>
  <si>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</si>
  <si>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</si>
  <si>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</si>
  <si>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</si>
  <si>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</si>
  <si>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</si>
  <si>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</si>
  <si>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</si>
  <si>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</si>
  <si>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</si>
  <si>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</si>
  <si>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</si>
  <si>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</si>
  <si>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</si>
  <si>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</si>
  <si>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</si>
  <si>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</si>
  <si>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</si>
  <si>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</si>
  <si>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</si>
  <si>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</si>
  <si>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</si>
  <si>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</si>
  <si>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</si>
  <si>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</si>
  <si>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</si>
  <si>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</si>
  <si>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</si>
  <si>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</si>
  <si>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</si>
  <si>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</si>
  <si>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</si>
  <si>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</si>
  <si>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</si>
  <si>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</si>
  <si>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</si>
  <si>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</si>
  <si>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</si>
  <si>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</si>
  <si>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</si>
  <si>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</si>
  <si>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</si>
  <si>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</si>
  <si>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</si>
  <si>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</si>
  <si>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</si>
  <si>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</si>
  <si>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</si>
  <si>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</si>
  <si>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</si>
  <si>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</si>
  <si>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</si>
  <si>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</si>
  <si>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</si>
  <si>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</si>
  <si>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</si>
  <si>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</si>
  <si>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</si>
  <si>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</si>
  <si>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</si>
  <si>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</si>
  <si>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</si>
  <si>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</si>
  <si>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</si>
  <si>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</si>
  <si>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</si>
  <si>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</si>
  <si>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</si>
  <si>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</si>
  <si>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</si>
  <si>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</si>
  <si>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</si>
  <si>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</si>
  <si>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</si>
  <si>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</si>
  <si>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</si>
  <si>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</si>
  <si>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</si>
  <si>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</si>
  <si>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</si>
  <si>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</si>
  <si>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</si>
  <si>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</si>
  <si>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</si>
  <si>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</si>
  <si>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</si>
  <si>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</si>
  <si>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</si>
  <si>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</si>
  <si>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</si>
  <si>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</si>
  <si>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</si>
  <si>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</si>
  <si>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</si>
  <si>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</si>
  <si>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</si>
  <si>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</si>
  <si>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</si>
  <si>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</si>
  <si>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</si>
  <si>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</si>
  <si>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</si>
  <si>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</si>
  <si>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</si>
  <si>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</si>
  <si>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</si>
  <si>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</si>
  <si>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</si>
  <si>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</si>
  <si>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</si>
  <si>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</si>
  <si>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</si>
  <si>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</si>
  <si>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</si>
  <si>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</si>
  <si>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</si>
  <si>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</si>
  <si>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</si>
  <si>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</si>
  <si>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</si>
  <si>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</si>
  <si>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</si>
  <si>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</si>
  <si>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</si>
  <si>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</si>
  <si>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</si>
  <si>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</si>
  <si>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</si>
  <si>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</si>
  <si>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</si>
  <si>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</si>
  <si>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</si>
  <si>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</si>
  <si>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</si>
  <si>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</si>
  <si>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</si>
  <si>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</si>
  <si>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</si>
  <si>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</si>
  <si>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</si>
  <si>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</si>
  <si>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</si>
  <si>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</si>
  <si>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</si>
  <si>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</si>
  <si>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</si>
  <si>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</si>
  <si>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</si>
  <si>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</si>
  <si>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</si>
  <si>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</si>
  <si>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</si>
  <si>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</si>
  <si>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</si>
  <si>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</si>
  <si>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</si>
  <si>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</si>
  <si>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</si>
  <si>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</si>
  <si>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</si>
  <si>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</si>
  <si>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</si>
  <si>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</si>
  <si>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</si>
  <si>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</si>
  <si>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</si>
  <si>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</si>
  <si>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</si>
  <si>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</si>
  <si>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</si>
  <si>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</si>
  <si>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</si>
  <si>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</si>
  <si>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</si>
  <si>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</si>
  <si>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</si>
  <si>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</si>
  <si>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</si>
  <si>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</si>
  <si>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</si>
  <si>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</si>
  <si>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</si>
  <si>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</si>
  <si>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</si>
  <si>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</si>
  <si>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</si>
  <si>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</si>
  <si>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</si>
  <si>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</si>
  <si>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</si>
  <si>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</si>
  <si>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</si>
  <si>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</si>
  <si>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</si>
  <si>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</si>
  <si>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</si>
  <si>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</si>
  <si>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</si>
  <si>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</si>
  <si>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</si>
  <si>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</si>
  <si>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</si>
  <si>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</si>
  <si>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</si>
  <si>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</si>
  <si>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</si>
  <si>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</si>
  <si>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</si>
  <si>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</si>
  <si>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</si>
  <si>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</si>
  <si>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</si>
  <si>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</si>
  <si>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</si>
  <si>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</si>
  <si>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</si>
  <si>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</si>
  <si>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</si>
  <si>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</si>
  <si>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</si>
  <si>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</si>
  <si>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</si>
  <si>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</si>
  <si>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</si>
  <si>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</si>
  <si>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</si>
  <si>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</si>
  <si>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</si>
  <si>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</si>
  <si>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</si>
  <si>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</si>
  <si>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</si>
  <si>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</si>
  <si>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</si>
  <si>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</si>
  <si>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</si>
  <si>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</si>
  <si>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</si>
  <si>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</si>
  <si>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</si>
  <si>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</si>
  <si>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</si>
  <si>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</si>
  <si>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</si>
  <si>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</si>
  <si>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</si>
  <si>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</si>
  <si>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</si>
  <si>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</si>
  <si>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</si>
  <si>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</si>
  <si>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</si>
  <si>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</si>
  <si>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</si>
  <si>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</si>
  <si>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</si>
  <si>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</si>
  <si>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</si>
  <si>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</si>
  <si>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</si>
  <si>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</si>
  <si>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</si>
  <si>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</si>
  <si>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</si>
  <si>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</si>
  <si>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</si>
  <si>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</si>
  <si>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</si>
  <si>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</si>
  <si>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</si>
  <si>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</si>
  <si>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</si>
  <si>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</si>
  <si>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</si>
  <si>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</si>
  <si>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</si>
  <si>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</si>
  <si>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</si>
  <si>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</si>
  <si>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</si>
  <si>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</si>
  <si>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</si>
  <si>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</si>
  <si>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</si>
  <si>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</si>
  <si>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</si>
  <si>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</si>
  <si>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</si>
  <si>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</si>
  <si>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</si>
  <si>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</si>
  <si>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</si>
  <si>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</si>
  <si>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</si>
  <si>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</si>
  <si>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</si>
  <si>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</si>
  <si>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</si>
  <si>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</si>
  <si>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</si>
  <si>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</si>
  <si>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</si>
  <si>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</si>
  <si>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</si>
  <si>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</si>
  <si>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</si>
  <si>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</si>
  <si>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</si>
  <si>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</si>
  <si>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</si>
  <si>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</si>
  <si>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</si>
  <si>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</si>
  <si>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</si>
  <si>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</si>
  <si>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</si>
  <si>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</si>
  <si>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</si>
  <si>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</si>
  <si>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</si>
  <si>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</si>
  <si>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</si>
  <si>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</si>
  <si>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</si>
  <si>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</si>
  <si>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</si>
  <si>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</si>
  <si>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</si>
  <si>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</si>
  <si>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</si>
  <si>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</si>
  <si>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</si>
  <si>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</si>
  <si>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</si>
  <si>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</si>
  <si>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</si>
  <si>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</si>
  <si>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</si>
  <si>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</si>
  <si>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</si>
  <si>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</si>
  <si>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</si>
  <si>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</si>
  <si>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</si>
  <si>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</si>
  <si>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</si>
  <si>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</si>
  <si>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</si>
  <si>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</si>
  <si>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</si>
  <si>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</si>
  <si>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</si>
  <si>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</si>
  <si>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</si>
  <si>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</si>
  <si>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</si>
  <si>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</si>
  <si>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</si>
  <si>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</si>
  <si>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</si>
  <si>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</si>
  <si>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</si>
  <si>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</si>
  <si>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</si>
  <si>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</si>
  <si>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</si>
  <si>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</si>
  <si>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</si>
  <si>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</si>
  <si>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</si>
  <si>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</si>
  <si>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</si>
  <si>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</si>
  <si>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</si>
  <si>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</si>
  <si>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</si>
  <si>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</si>
  <si>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</si>
  <si>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</si>
  <si>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</si>
  <si>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</si>
  <si>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</si>
  <si>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</si>
  <si>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</si>
  <si>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</si>
  <si>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</si>
  <si>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</si>
  <si>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</si>
  <si>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</si>
  <si>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</si>
  <si>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</si>
  <si>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</si>
  <si>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</si>
  <si>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</si>
  <si>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</si>
  <si>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</si>
  <si>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</si>
  <si>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</si>
  <si>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</si>
  <si>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</si>
  <si>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</si>
  <si>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</si>
  <si>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</si>
  <si>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</si>
  <si>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</si>
  <si>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</si>
  <si>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</si>
  <si>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</si>
  <si>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</si>
  <si>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</si>
  <si>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</si>
  <si>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</si>
  <si>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</si>
  <si>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</si>
  <si>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</si>
  <si>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</si>
  <si>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</si>
  <si>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</si>
  <si>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</si>
  <si>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</si>
  <si>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</si>
  <si>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</si>
  <si>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</si>
  <si>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</si>
  <si>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</si>
  <si>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</si>
  <si>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</si>
  <si>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</si>
  <si>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</si>
  <si>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</si>
  <si>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</si>
  <si>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</si>
  <si>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</si>
  <si>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</si>
  <si>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</si>
  <si>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</si>
  <si>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</si>
  <si>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</si>
  <si>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</si>
  <si>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</si>
  <si>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</si>
  <si>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</si>
  <si>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</si>
  <si>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</si>
  <si>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</si>
  <si>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</si>
  <si>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</si>
  <si>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</si>
  <si>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</si>
  <si>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</si>
  <si>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</si>
  <si>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</si>
  <si>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</si>
  <si>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</si>
  <si>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</si>
  <si>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</si>
  <si>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</si>
  <si>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</si>
  <si>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</si>
  <si>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</si>
  <si>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</si>
  <si>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</si>
  <si>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</si>
  <si>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</si>
  <si>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</si>
  <si>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</si>
  <si>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</si>
  <si>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</si>
  <si>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</si>
  <si>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</si>
  <si>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</si>
  <si>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</si>
  <si>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</si>
  <si>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</si>
  <si>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</si>
  <si>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</si>
  <si>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</si>
  <si>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</si>
  <si>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</si>
  <si>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</si>
  <si>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</si>
  <si>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</si>
  <si>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</si>
  <si>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</si>
  <si>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</si>
  <si>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</si>
  <si>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</si>
  <si>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</si>
  <si>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</si>
  <si>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</si>
  <si>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</si>
  <si>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</si>
  <si>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</si>
  <si>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</si>
  <si>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</si>
  <si>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</si>
  <si>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</si>
  <si>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</si>
  <si>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</si>
  <si>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</si>
  <si>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</si>
  <si>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</si>
  <si>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</si>
  <si>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</si>
  <si>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</si>
  <si>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</si>
  <si>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</si>
  <si>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</si>
  <si>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</si>
  <si>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</si>
  <si>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</si>
  <si>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</si>
  <si>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</si>
  <si>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</si>
  <si>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</si>
  <si>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</si>
  <si>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</si>
  <si>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</si>
  <si>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</si>
  <si>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</si>
  <si>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</si>
  <si>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</si>
  <si>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</si>
  <si>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</si>
  <si>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</si>
  <si>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</si>
  <si>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</si>
  <si>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</si>
  <si>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</si>
  <si>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</si>
  <si>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</si>
  <si>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</si>
  <si>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</si>
  <si>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</si>
  <si>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</si>
  <si>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</si>
  <si>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</si>
  <si>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</si>
  <si>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</si>
  <si>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</si>
  <si>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</si>
  <si>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</si>
  <si>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</si>
  <si>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</si>
  <si>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</si>
  <si>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</si>
  <si>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</si>
  <si>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</si>
  <si>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</si>
  <si>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</si>
  <si>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</si>
  <si>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</si>
  <si>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</si>
  <si>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</si>
  <si>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</si>
  <si>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</si>
  <si>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</si>
  <si>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</si>
  <si>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</si>
  <si>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</si>
  <si>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</si>
  <si>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</si>
  <si>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</si>
  <si>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</si>
  <si>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</si>
  <si>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</si>
  <si>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</si>
  <si>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</si>
  <si>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</si>
  <si>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</si>
  <si>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</si>
  <si>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</si>
  <si>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</si>
  <si>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</si>
  <si>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</si>
  <si>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</si>
  <si>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</si>
  <si>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</si>
  <si>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</si>
  <si>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</si>
  <si>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</si>
  <si>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</si>
  <si>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</si>
  <si>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</si>
  <si>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</si>
  <si>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</si>
  <si>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</si>
  <si>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</si>
  <si>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</si>
  <si>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</si>
  <si>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</si>
  <si>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</si>
  <si>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</si>
  <si>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</si>
  <si>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</si>
  <si>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</si>
  <si>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</si>
  <si>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</si>
  <si>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</si>
  <si>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</si>
  <si>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</si>
  <si>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</si>
  <si>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</si>
  <si>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</si>
  <si>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</si>
  <si>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</si>
  <si>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</si>
  <si>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</si>
  <si>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</si>
  <si>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</si>
  <si>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</si>
  <si>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</si>
  <si>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</si>
  <si>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</si>
  <si>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</si>
  <si>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</si>
  <si>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</si>
  <si>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</si>
  <si>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</si>
  <si>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</si>
  <si>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</si>
  <si>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</si>
  <si>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</si>
  <si>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</si>
  <si>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</si>
  <si>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</si>
  <si>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</si>
  <si>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</si>
  <si>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</si>
  <si>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</si>
  <si>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</si>
  <si>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</si>
  <si>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</si>
  <si>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</si>
  <si>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</si>
  <si>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</si>
  <si>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</si>
  <si>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</si>
  <si>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</si>
  <si>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</si>
  <si>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</si>
  <si>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</si>
  <si>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</si>
  <si>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</si>
  <si>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</si>
  <si>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</si>
  <si>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</si>
  <si>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</si>
  <si>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</si>
  <si>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</si>
  <si>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</si>
  <si>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</si>
  <si>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</si>
  <si>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</si>
  <si>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</si>
  <si>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</si>
  <si>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</si>
  <si>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</si>
  <si>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</si>
  <si>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</si>
  <si>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</si>
  <si>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</si>
  <si>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</si>
  <si>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</si>
  <si>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</si>
  <si>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</si>
  <si>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</si>
  <si>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</si>
  <si>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</si>
  <si>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</si>
  <si>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</si>
  <si>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</si>
  <si>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</si>
  <si>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</si>
  <si>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</si>
  <si>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</si>
  <si>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</si>
  <si>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</si>
  <si>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</si>
  <si>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</si>
  <si>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</si>
  <si>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</si>
  <si>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</si>
  <si>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</si>
  <si>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</si>
  <si>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</si>
  <si>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</si>
  <si>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</si>
  <si>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</si>
  <si>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</si>
  <si>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</si>
  <si>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</si>
  <si>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</si>
  <si>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</si>
  <si>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</si>
  <si>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</si>
  <si>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</si>
  <si>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</si>
  <si>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</si>
  <si>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</si>
  <si>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</si>
  <si>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</si>
  <si>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</si>
  <si>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</si>
  <si>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</si>
  <si>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</si>
  <si>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</si>
  <si>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</si>
  <si>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</si>
  <si>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</si>
  <si>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</si>
  <si>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</si>
  <si>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</si>
  <si>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</si>
  <si>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</si>
  <si>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</si>
  <si>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</si>
  <si>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</si>
  <si>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</si>
  <si>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</si>
  <si>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</si>
  <si>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</si>
  <si>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</si>
  <si>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</si>
  <si>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</si>
  <si>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</si>
  <si>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</si>
  <si>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</si>
  <si>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</si>
  <si>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</si>
  <si>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</si>
  <si>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</si>
  <si>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</si>
  <si>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</si>
  <si>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</si>
  <si>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</si>
  <si>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</si>
  <si>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</si>
  <si>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</si>
  <si>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</si>
  <si>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</si>
  <si>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</si>
  <si>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</si>
  <si>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</si>
  <si>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</si>
  <si>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</si>
  <si>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</si>
  <si>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</si>
  <si>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</si>
  <si>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</si>
  <si>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</si>
  <si>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</si>
  <si>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</si>
  <si>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</si>
  <si>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</si>
  <si>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</si>
  <si>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</si>
  <si>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</si>
  <si>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</si>
  <si>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</si>
  <si>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</si>
  <si>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</si>
  <si>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</si>
  <si>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</si>
  <si>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</si>
  <si>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</si>
  <si>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</si>
  <si>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</si>
  <si>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</si>
  <si>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</si>
  <si>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</si>
  <si>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</si>
  <si>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</si>
  <si>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</si>
  <si>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</si>
  <si>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</si>
  <si>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</si>
  <si>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</si>
  <si>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</si>
  <si>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</si>
  <si>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</si>
  <si>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</si>
  <si>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</si>
  <si>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</si>
  <si>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</si>
  <si>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</si>
  <si>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</si>
  <si>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</si>
  <si>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</si>
  <si>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</si>
  <si>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</si>
  <si>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</si>
  <si>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</si>
  <si>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</si>
  <si>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</si>
  <si>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</si>
  <si>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</si>
  <si>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</si>
  <si>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</si>
  <si>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</si>
  <si>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</si>
  <si>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</si>
  <si>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</si>
  <si>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</si>
  <si>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</si>
  <si>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</si>
  <si>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</si>
  <si>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</si>
  <si>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</si>
  <si>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</si>
  <si>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</si>
  <si>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</si>
  <si>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</si>
  <si>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</si>
  <si>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</si>
  <si>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</si>
  <si>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</si>
  <si>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</si>
  <si>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</si>
  <si>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</si>
  <si>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</si>
  <si>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</si>
  <si>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</si>
  <si>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</si>
  <si>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</si>
  <si>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</si>
  <si>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</si>
  <si>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</si>
  <si>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</si>
  <si>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</si>
  <si>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</si>
  <si>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</si>
  <si>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</si>
  <si>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</si>
  <si>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</si>
  <si>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</si>
  <si>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</si>
  <si>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</si>
  <si>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</si>
  <si>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</si>
  <si>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</si>
  <si>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</si>
  <si>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</si>
  <si>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</si>
  <si>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</si>
  <si>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</si>
  <si>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</si>
  <si>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</si>
  <si>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</si>
  <si>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</si>
  <si>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</si>
  <si>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</si>
  <si>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</si>
  <si>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</si>
  <si>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</si>
  <si>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</si>
  <si>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</si>
  <si>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</si>
  <si>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</si>
  <si>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</si>
  <si>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</si>
  <si>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</si>
  <si>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</si>
  <si>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</si>
  <si>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</si>
  <si>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</si>
  <si>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</si>
  <si>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</si>
  <si>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</si>
  <si>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</si>
  <si>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</si>
  <si>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</si>
  <si>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</si>
  <si>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</si>
  <si>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</si>
  <si>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</si>
  <si>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</si>
  <si>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</si>
  <si>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</si>
  <si>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</si>
  <si>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</si>
  <si>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</si>
  <si>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</si>
  <si>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</si>
  <si>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</si>
  <si>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</si>
  <si>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</si>
  <si>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</si>
  <si>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</si>
  <si>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</si>
  <si>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</si>
  <si>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</si>
  <si>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</si>
  <si>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</si>
  <si>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</si>
  <si>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</si>
  <si>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</si>
  <si>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</si>
  <si>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</si>
  <si>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</si>
  <si>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</si>
  <si>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</si>
  <si>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</si>
  <si>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</si>
  <si>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</si>
  <si>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</si>
  <si>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</si>
  <si>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</si>
  <si>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</si>
  <si>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</si>
  <si>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</si>
  <si>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</si>
  <si>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</si>
  <si>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</si>
  <si>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</si>
  <si>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</si>
  <si>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</si>
  <si>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</si>
  <si>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</si>
  <si>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</si>
  <si>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</si>
  <si>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</si>
  <si>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</si>
  <si>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</si>
  <si>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</si>
  <si>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</si>
  <si>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</si>
  <si>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</si>
  <si>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</si>
  <si>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</si>
  <si>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</si>
  <si>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</si>
  <si>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</si>
  <si>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</si>
  <si>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</si>
  <si>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</si>
  <si>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</si>
  <si>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</si>
  <si>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</si>
  <si>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</si>
  <si>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</si>
  <si>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</si>
  <si>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</si>
  <si>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</si>
  <si>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</si>
  <si>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</si>
  <si>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</si>
  <si>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</si>
  <si>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</si>
  <si>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</si>
  <si>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</si>
  <si>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</si>
  <si>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</si>
  <si>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</si>
  <si>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</si>
  <si>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</si>
  <si>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</si>
  <si>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</si>
  <si>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</si>
  <si>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</si>
  <si>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</si>
  <si>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</si>
  <si>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</si>
  <si>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</si>
  <si>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</si>
  <si>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</si>
  <si>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</si>
  <si>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</si>
  <si>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</si>
  <si>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</si>
  <si>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</si>
  <si>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</si>
  <si>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</si>
  <si>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</si>
  <si>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</si>
  <si>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</si>
  <si>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</si>
  <si>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</si>
  <si>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</si>
  <si>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</si>
  <si>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</si>
  <si>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</si>
  <si>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</si>
  <si>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</si>
  <si>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</si>
  <si>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</si>
  <si>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</si>
  <si>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</si>
  <si>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</si>
  <si>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</si>
  <si>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</si>
  <si>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</si>
  <si>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</si>
  <si>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</si>
  <si>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</si>
  <si>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</si>
  <si>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</si>
  <si>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</si>
  <si>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</si>
  <si>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</si>
  <si>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</si>
  <si>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</si>
  <si>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</si>
  <si>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</si>
  <si>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</si>
  <si>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</si>
  <si>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</si>
  <si>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</si>
  <si>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</si>
  <si>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</si>
  <si>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</si>
  <si>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</si>
  <si>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</si>
  <si>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</si>
  <si>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</si>
  <si>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</si>
  <si>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</si>
  <si>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</si>
  <si>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</si>
  <si>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</si>
  <si>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</si>
  <si>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</si>
  <si>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</si>
  <si>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</si>
  <si>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</si>
  <si>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</si>
  <si>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</si>
  <si>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</si>
  <si>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</si>
  <si>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</si>
  <si>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</si>
  <si>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</si>
  <si>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</si>
  <si>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</si>
  <si>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</si>
  <si>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</si>
  <si>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</si>
  <si>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</si>
  <si>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</si>
  <si>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</si>
  <si>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</si>
  <si>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</si>
  <si>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</si>
  <si>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</si>
  <si>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</si>
  <si>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</si>
  <si>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</si>
  <si>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</si>
  <si>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</si>
  <si>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</si>
  <si>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</si>
  <si>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</si>
  <si>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</si>
  <si>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</si>
  <si>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</si>
  <si>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</si>
  <si>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</si>
  <si>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</si>
  <si>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</si>
  <si>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</si>
  <si>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</si>
  <si>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</si>
  <si>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</si>
  <si>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</si>
  <si>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</si>
  <si>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</si>
  <si>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</si>
  <si>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</si>
  <si>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</si>
  <si>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</si>
  <si>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</si>
  <si>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</si>
  <si>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</si>
  <si>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</si>
  <si>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</si>
  <si>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</si>
  <si>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</si>
  <si>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</si>
  <si>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</si>
  <si>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</si>
  <si>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</si>
  <si>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</si>
  <si>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</si>
  <si>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</si>
  <si>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</si>
  <si>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</si>
  <si>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</si>
  <si>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</si>
  <si>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</si>
  <si>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</si>
  <si>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</si>
  <si>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</si>
  <si>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</si>
  <si>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</si>
  <si>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</si>
  <si>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</si>
  <si>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</si>
  <si>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</si>
  <si>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</si>
  <si>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</si>
  <si>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</si>
  <si>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</si>
  <si>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</si>
  <si>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</si>
  <si>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</si>
  <si>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</si>
  <si>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</si>
  <si>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</si>
  <si>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</si>
  <si>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</si>
  <si>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</si>
  <si>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</si>
  <si>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</si>
  <si>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</si>
  <si>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</si>
  <si>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</si>
  <si>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</si>
  <si>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</si>
  <si>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</si>
  <si>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</si>
  <si>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</si>
  <si>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</si>
  <si>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</si>
  <si>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</si>
  <si>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</si>
  <si>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</si>
  <si>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</si>
  <si>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</si>
  <si>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</si>
  <si>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</si>
  <si>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</si>
  <si>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</si>
  <si>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</si>
  <si>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</si>
  <si>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</si>
  <si>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</si>
  <si>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</si>
  <si>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</si>
  <si>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</si>
  <si>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</si>
  <si>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</si>
  <si>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</si>
  <si>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</si>
  <si>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</si>
  <si>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</si>
  <si>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</si>
  <si>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</si>
  <si>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</si>
  <si>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</si>
  <si>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</si>
  <si>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</si>
  <si>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</si>
  <si>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</si>
  <si>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</si>
  <si>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</si>
  <si>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</si>
  <si>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</si>
  <si>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</si>
  <si>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</si>
  <si>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</si>
  <si>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</si>
  <si>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</si>
  <si>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</si>
  <si>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</si>
  <si>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</si>
  <si>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</si>
  <si>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</si>
  <si>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</si>
  <si>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</si>
  <si>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</si>
  <si>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</si>
  <si>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</si>
  <si>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</si>
  <si>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</si>
  <si>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</si>
  <si>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</si>
  <si>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</si>
  <si>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</si>
  <si>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</si>
  <si>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</si>
  <si>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</si>
  <si>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</si>
  <si>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</si>
  <si>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</si>
  <si>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</si>
  <si>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</si>
  <si>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</si>
  <si>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</si>
  <si>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</si>
  <si>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</si>
  <si>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</si>
  <si>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</si>
  <si>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</si>
  <si>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</si>
  <si>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</si>
  <si>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</si>
  <si>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</si>
  <si>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</si>
  <si>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</si>
  <si>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</si>
  <si>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</si>
  <si>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</si>
  <si>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</si>
  <si>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</si>
  <si>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</si>
  <si>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</si>
  <si>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</si>
  <si>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</si>
  <si>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</si>
  <si>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</si>
  <si>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</si>
  <si>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</si>
  <si>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</si>
  <si>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</si>
  <si>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</si>
  <si>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</si>
  <si>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</si>
  <si>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</si>
  <si>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</si>
  <si>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</si>
  <si>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</si>
  <si>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</si>
  <si>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</si>
  <si>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</si>
  <si>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</si>
  <si>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</si>
  <si>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</si>
  <si>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</si>
  <si>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</si>
  <si>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</si>
  <si>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</si>
  <si>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</si>
  <si>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</si>
  <si>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</si>
  <si>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</si>
  <si>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</si>
  <si>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</si>
  <si>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</si>
  <si>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</si>
  <si>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</si>
  <si>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</si>
  <si>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</si>
  <si>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</si>
  <si>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</si>
  <si>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</si>
  <si>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</si>
  <si>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</si>
  <si>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</si>
  <si>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</si>
  <si>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</si>
  <si>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</si>
  <si>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</si>
  <si>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</si>
  <si>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</si>
  <si>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</si>
  <si>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</si>
  <si>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</si>
  <si>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</si>
  <si>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</si>
  <si>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</si>
  <si>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</si>
  <si>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</si>
  <si>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</si>
  <si>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</si>
  <si>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</si>
  <si>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</si>
  <si>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</si>
  <si>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</si>
  <si>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</si>
  <si>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</si>
  <si>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</si>
  <si>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</si>
  <si>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</si>
  <si>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</si>
  <si>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</si>
  <si>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</si>
  <si>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</si>
  <si>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</si>
  <si>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</si>
  <si>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</si>
  <si>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</si>
  <si>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</si>
  <si>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</si>
  <si>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</si>
  <si>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</si>
  <si>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</si>
  <si>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</si>
  <si>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</si>
  <si>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</si>
  <si>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</si>
  <si>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</si>
  <si>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</si>
  <si>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</si>
  <si>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</si>
  <si>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</si>
  <si>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</si>
  <si>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</si>
  <si>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</si>
  <si>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</si>
  <si>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</si>
  <si>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</si>
  <si>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</si>
  <si>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</si>
  <si>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</si>
  <si>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</si>
  <si>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</si>
  <si>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</si>
  <si>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</si>
  <si>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</si>
  <si>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</si>
  <si>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</si>
  <si>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</si>
  <si>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</si>
  <si>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</si>
  <si>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</si>
  <si>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</si>
  <si>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</si>
  <si>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</si>
  <si>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</si>
  <si>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</si>
  <si>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</si>
  <si>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</si>
  <si>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</si>
  <si>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</si>
  <si>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</si>
  <si>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</si>
  <si>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</si>
  <si>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</si>
  <si>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</si>
  <si>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</si>
  <si>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</si>
  <si>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</si>
  <si>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</si>
  <si>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</si>
  <si>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</si>
  <si>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</si>
  <si>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</si>
  <si>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</si>
  <si>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</si>
  <si>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</si>
  <si>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</si>
  <si>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</si>
  <si>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</si>
  <si>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</si>
  <si>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</si>
  <si>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</si>
  <si>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</si>
  <si>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</si>
  <si>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</si>
  <si>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</si>
  <si>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</si>
  <si>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</si>
  <si>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</si>
  <si>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</si>
  <si>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</si>
  <si>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</si>
  <si>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</si>
  <si>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</si>
  <si>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</si>
  <si>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</si>
  <si>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</si>
  <si>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</si>
  <si>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</si>
  <si>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</si>
  <si>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</si>
  <si>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</si>
  <si>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</si>
  <si>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</si>
  <si>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</si>
  <si>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</si>
  <si>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</si>
  <si>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</si>
  <si>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</si>
  <si>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</si>
  <si>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</si>
  <si>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</si>
  <si>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</si>
  <si>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</si>
  <si>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</si>
  <si>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</si>
  <si>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</si>
  <si>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</si>
  <si>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</si>
  <si>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</si>
  <si>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</si>
  <si>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</si>
  <si>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</si>
  <si>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</si>
  <si>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</si>
  <si>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</si>
  <si>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</si>
  <si>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</si>
  <si>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</si>
  <si>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</si>
  <si>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</si>
  <si>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</si>
  <si>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</si>
  <si>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</si>
  <si>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</si>
  <si>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</si>
  <si>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</si>
  <si>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</si>
  <si>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</si>
  <si>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</si>
  <si>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</si>
  <si>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</si>
  <si>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</si>
  <si>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</si>
  <si>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</si>
  <si>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</si>
  <si>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</si>
  <si>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</si>
  <si>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</si>
  <si>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</si>
  <si>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</si>
  <si>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</si>
  <si>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</si>
  <si>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</si>
  <si>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</si>
  <si>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</si>
  <si>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</si>
  <si>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</si>
  <si>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</si>
  <si>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</si>
  <si>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</si>
  <si>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</si>
  <si>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</si>
  <si>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</si>
  <si>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</si>
  <si>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</si>
  <si>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</si>
  <si>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</si>
  <si>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</si>
  <si>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</si>
  <si>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</si>
  <si>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</si>
  <si>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</si>
  <si>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</si>
  <si>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</si>
  <si>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</si>
  <si>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</si>
  <si>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</si>
  <si>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</si>
  <si>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</si>
  <si>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</si>
  <si>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</si>
  <si>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</si>
  <si>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</si>
  <si>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</si>
  <si>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</si>
  <si>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</si>
  <si>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</si>
  <si>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</si>
  <si>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</si>
  <si>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</si>
  <si>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</si>
  <si>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</si>
  <si>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</si>
  <si>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</si>
  <si>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</si>
  <si>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</si>
  <si>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</si>
  <si>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</si>
  <si>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</si>
  <si>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</si>
  <si>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</si>
  <si>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</si>
  <si>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</si>
  <si>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</si>
  <si>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</si>
  <si>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</si>
  <si>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</si>
  <si>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</si>
  <si>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</si>
  <si>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</si>
  <si>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</si>
  <si>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</si>
  <si>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</si>
  <si>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</si>
  <si>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</si>
  <si>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</si>
  <si>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</si>
  <si>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</si>
  <si>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</si>
  <si>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</si>
  <si>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</si>
  <si>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</si>
  <si>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</si>
  <si>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</si>
  <si>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</si>
  <si>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</si>
  <si>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</si>
  <si>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</si>
  <si>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</si>
  <si>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</si>
  <si>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</si>
  <si>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</si>
  <si>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</si>
  <si>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</si>
  <si>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</si>
  <si>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</si>
  <si>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</si>
  <si>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</si>
  <si>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</si>
  <si>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</si>
  <si>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</si>
  <si>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</si>
  <si>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</si>
  <si>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</si>
  <si>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</si>
  <si>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</si>
  <si>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</si>
  <si>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</si>
  <si>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</si>
  <si>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</si>
  <si>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</si>
  <si>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</si>
  <si>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</si>
  <si>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</si>
  <si>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</si>
  <si>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</si>
  <si>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</si>
  <si>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</si>
  <si>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</si>
  <si>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</si>
  <si>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</si>
  <si>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</si>
  <si>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</si>
  <si>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</si>
  <si>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</si>
  <si>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</si>
  <si>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</si>
  <si>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</si>
  <si>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</si>
  <si>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</si>
  <si>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</si>
  <si>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</si>
  <si>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</si>
  <si>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</si>
  <si>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</si>
  <si>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</si>
  <si>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</si>
  <si>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</si>
  <si>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</si>
  <si>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</si>
  <si>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</si>
  <si>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</si>
  <si>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</si>
  <si>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</si>
  <si>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</si>
  <si>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</si>
  <si>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</si>
  <si>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</si>
  <si>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</si>
  <si>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</si>
  <si>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</si>
  <si>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</si>
  <si>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</si>
  <si>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</si>
  <si>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</si>
  <si>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</si>
  <si>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</si>
  <si>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</si>
  <si>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</si>
  <si>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</si>
  <si>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</si>
  <si>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</si>
  <si>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</si>
  <si>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</si>
  <si>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</si>
  <si>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</si>
  <si>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</si>
  <si>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</si>
  <si>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</si>
  <si>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</si>
  <si>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</si>
  <si>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</si>
  <si>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</si>
  <si>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</si>
  <si>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</si>
  <si>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</si>
  <si>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</si>
  <si>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</si>
  <si>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</si>
  <si>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</si>
  <si>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</si>
  <si>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</si>
  <si>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</si>
  <si>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</si>
  <si>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</si>
  <si>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</si>
  <si>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</si>
  <si>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</si>
  <si>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</si>
  <si>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</si>
  <si>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</si>
  <si>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</si>
  <si>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</si>
  <si>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</si>
  <si>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</si>
  <si>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</si>
  <si>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</si>
  <si>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</si>
  <si>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</si>
  <si>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</si>
  <si>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</si>
  <si>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</si>
  <si>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</si>
  <si>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</si>
  <si>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</si>
  <si>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</si>
  <si>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</si>
  <si>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</si>
  <si>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</si>
  <si>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</si>
  <si>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</si>
  <si>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</si>
  <si>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</si>
  <si>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</si>
  <si>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</si>
  <si>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</si>
  <si>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</si>
  <si>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</si>
  <si>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</si>
  <si>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</si>
  <si>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</si>
  <si>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</si>
  <si>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</si>
  <si>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</si>
  <si>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</si>
  <si>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</si>
  <si>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</si>
  <si>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</si>
  <si>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</si>
  <si>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</si>
  <si>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</si>
  <si>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</si>
  <si>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</si>
  <si>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</si>
  <si>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</si>
  <si>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</si>
  <si>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</si>
  <si>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</si>
  <si>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</si>
  <si>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</si>
  <si>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</si>
  <si>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</si>
  <si>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</si>
  <si>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</si>
  <si>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</si>
  <si>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</si>
  <si>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</si>
  <si>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</si>
  <si>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</si>
  <si>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</si>
  <si>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</si>
  <si>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</si>
  <si>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</si>
  <si>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</si>
  <si>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</si>
  <si>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</si>
  <si>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</si>
  <si>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</si>
  <si>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</si>
  <si>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</si>
  <si>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</si>
  <si>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</si>
  <si>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</si>
  <si>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</si>
  <si>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</si>
  <si>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</si>
  <si>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</si>
  <si>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</si>
  <si>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</si>
  <si>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</si>
  <si>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</si>
  <si>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</si>
  <si>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</si>
  <si>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</si>
  <si>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</si>
  <si>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</si>
  <si>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</si>
  <si>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</si>
  <si>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</si>
  <si>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</si>
  <si>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</si>
  <si>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</si>
  <si>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</si>
  <si>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</si>
  <si>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</si>
  <si>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</si>
  <si>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</si>
  <si>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</si>
  <si>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</si>
  <si>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</si>
  <si>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</si>
  <si>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</si>
  <si>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</si>
  <si>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</si>
  <si>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</si>
  <si>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</si>
  <si>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</si>
  <si>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</si>
  <si>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</si>
  <si>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</si>
  <si>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</si>
  <si>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</si>
  <si>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</si>
  <si>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</si>
  <si>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</si>
  <si>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</si>
  <si>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</si>
  <si>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</si>
  <si>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</si>
  <si>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</si>
  <si>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</si>
  <si>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</si>
  <si>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</si>
  <si>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</si>
  <si>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</si>
  <si>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</si>
  <si>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</si>
  <si>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</si>
  <si>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</si>
  <si>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</si>
  <si>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</si>
  <si>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</si>
  <si>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</si>
  <si>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</si>
  <si>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</si>
  <si>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</si>
  <si>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</si>
  <si>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</si>
  <si>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</si>
  <si>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</si>
  <si>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</si>
  <si>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</si>
  <si>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</si>
  <si>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</si>
  <si>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</si>
  <si>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</si>
  <si>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</si>
  <si>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</si>
  <si>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</si>
  <si>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</si>
  <si>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</si>
  <si>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</si>
  <si>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</si>
  <si>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</si>
  <si>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</si>
  <si>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</si>
  <si>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</si>
  <si>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</si>
  <si>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</si>
  <si>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</si>
  <si>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</si>
  <si>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</si>
  <si>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</si>
  <si>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</si>
  <si>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</si>
  <si>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</si>
  <si>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</si>
  <si>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</si>
  <si>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</si>
  <si>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</si>
  <si>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</si>
  <si>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</si>
  <si>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</si>
  <si>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</si>
  <si>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</si>
  <si>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</si>
  <si>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</si>
  <si>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</si>
  <si>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</si>
  <si>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</si>
  <si>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</si>
  <si>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</si>
  <si>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</si>
  <si>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</si>
  <si>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</si>
  <si>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</si>
  <si>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</si>
  <si>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</si>
  <si>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</si>
  <si>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</si>
  <si>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</si>
  <si>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</si>
  <si>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</si>
  <si>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</si>
  <si>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</si>
  <si>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</si>
  <si>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</si>
  <si>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</si>
  <si>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</si>
  <si>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</si>
  <si>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</si>
  <si>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</si>
  <si>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</si>
  <si>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</si>
  <si>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</si>
  <si>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</si>
  <si>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</si>
  <si>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</si>
  <si>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</si>
  <si>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</si>
  <si>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</si>
  <si>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</si>
  <si>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</si>
  <si>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</si>
  <si>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</si>
  <si>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</si>
  <si>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</si>
  <si>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</si>
  <si>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</si>
  <si>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</si>
  <si>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</si>
  <si>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</si>
  <si>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</si>
  <si>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</si>
  <si>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</si>
  <si>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</si>
  <si>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</si>
  <si>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</si>
  <si>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</si>
  <si>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</si>
  <si>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</si>
  <si>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</si>
  <si>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</si>
  <si>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</si>
  <si>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</si>
  <si>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</si>
  <si>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</si>
  <si>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</si>
  <si>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</si>
  <si>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</si>
  <si>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</si>
  <si>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</si>
  <si>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</si>
  <si>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</si>
  <si>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</si>
  <si>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</si>
  <si>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</si>
  <si>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</si>
  <si>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</si>
  <si>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</si>
  <si>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</si>
  <si>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</si>
  <si>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</si>
  <si>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</si>
  <si>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</si>
  <si>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</si>
  <si>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</si>
  <si>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</si>
  <si>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</si>
  <si>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</si>
  <si>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</si>
  <si>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</si>
  <si>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</si>
  <si>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</si>
  <si>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</si>
  <si>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</si>
  <si>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</si>
  <si>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</si>
  <si>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</si>
  <si>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</si>
  <si>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</si>
  <si>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</si>
  <si>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</si>
  <si>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</si>
  <si>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</si>
  <si>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</si>
  <si>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</si>
  <si>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</si>
  <si>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</si>
  <si>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</si>
  <si>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</si>
  <si>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</si>
  <si>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</si>
  <si>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</si>
  <si>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</si>
  <si>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</si>
  <si>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</si>
  <si>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</si>
  <si>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</si>
  <si>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</si>
  <si>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</si>
  <si>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</si>
  <si>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</si>
  <si>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</si>
  <si>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</si>
  <si>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</si>
  <si>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</si>
  <si>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</si>
  <si>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</si>
  <si>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</si>
  <si>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</si>
  <si>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</si>
  <si>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</si>
  <si>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</si>
  <si>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</si>
  <si>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</si>
  <si>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</si>
  <si>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</si>
  <si>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</si>
  <si>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</si>
  <si>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</si>
  <si>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</si>
  <si>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</si>
  <si>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</si>
  <si>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</si>
  <si>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</si>
  <si>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</si>
  <si>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</si>
  <si>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</si>
  <si>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</si>
  <si>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</si>
  <si>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</si>
  <si>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</si>
  <si>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</si>
  <si>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</si>
  <si>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</si>
  <si>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</si>
  <si>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</si>
  <si>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</si>
  <si>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</si>
  <si>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</si>
  <si>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</si>
  <si>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</si>
  <si>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</si>
  <si>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</si>
  <si>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</si>
  <si>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</si>
  <si>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</si>
  <si>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</si>
  <si>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</si>
  <si>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</si>
  <si>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</si>
  <si>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</si>
  <si>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</si>
  <si>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</si>
  <si>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</si>
  <si>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</si>
  <si>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</si>
  <si>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</si>
  <si>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</si>
  <si>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</si>
  <si>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</si>
  <si>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</si>
  <si>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</si>
  <si>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</si>
  <si>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</si>
  <si>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</si>
  <si>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</si>
  <si>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</si>
  <si>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</si>
  <si>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</si>
  <si>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</si>
  <si>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</si>
  <si>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</si>
  <si>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</si>
  <si>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</si>
  <si>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</si>
  <si>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</si>
  <si>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</si>
  <si>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</si>
  <si>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</si>
  <si>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</si>
  <si>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</si>
  <si>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</si>
  <si>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</si>
  <si>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</si>
  <si>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</si>
  <si>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</si>
  <si>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</si>
  <si>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</si>
  <si>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</si>
  <si>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</si>
  <si>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</si>
  <si>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</si>
  <si>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</si>
  <si>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</si>
  <si>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</si>
  <si>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</si>
  <si>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</si>
  <si>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</si>
  <si>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</si>
  <si>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</si>
  <si>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</si>
  <si>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</si>
  <si>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</si>
  <si>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</si>
  <si>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</si>
  <si>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</si>
  <si>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</si>
  <si>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</si>
  <si>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</si>
  <si>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</si>
  <si>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</si>
  <si>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</si>
  <si>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</si>
  <si>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</si>
  <si>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</si>
  <si>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</si>
  <si>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</si>
  <si>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</si>
  <si>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</si>
  <si>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</si>
  <si>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</si>
  <si>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</si>
  <si>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</si>
  <si>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</si>
  <si>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</si>
  <si>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</si>
  <si>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</si>
  <si>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</si>
  <si>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</si>
  <si>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</si>
  <si>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</si>
  <si>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</si>
  <si>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</si>
  <si>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</si>
  <si>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</si>
  <si>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</si>
  <si>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</si>
  <si>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</si>
  <si>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</si>
  <si>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</si>
  <si>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</si>
  <si>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</si>
  <si>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</si>
  <si>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</si>
  <si>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</si>
  <si>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</si>
  <si>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</si>
  <si>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</si>
  <si>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</si>
  <si>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</si>
  <si>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</si>
  <si>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</si>
  <si>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</si>
  <si>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</si>
  <si>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</si>
  <si>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</si>
  <si>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</si>
  <si>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</si>
  <si>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</si>
  <si>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</si>
  <si>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</si>
  <si>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</si>
  <si>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</si>
  <si>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</si>
  <si>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</si>
  <si>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</si>
  <si>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</si>
  <si>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</si>
  <si>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</si>
  <si>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</si>
  <si>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</si>
  <si>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</si>
  <si>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</si>
  <si>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</si>
  <si>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</si>
  <si>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</si>
  <si>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</si>
  <si>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</si>
  <si>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</si>
  <si>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</si>
  <si>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</si>
  <si>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</si>
  <si>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</si>
  <si>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</si>
  <si>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</si>
  <si>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</si>
  <si>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</si>
  <si>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</si>
  <si>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</si>
  <si>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</si>
  <si>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</si>
  <si>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</si>
  <si>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</si>
  <si>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</si>
  <si>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</si>
  <si>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</si>
  <si>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</si>
  <si>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</si>
  <si>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</si>
  <si>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</si>
  <si>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</si>
  <si>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</si>
  <si>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</si>
  <si>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</si>
  <si>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</si>
  <si>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</si>
  <si>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</si>
  <si>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</si>
  <si>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</si>
  <si>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</si>
  <si>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</si>
  <si>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</si>
  <si>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</si>
  <si>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</si>
  <si>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</si>
  <si>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</si>
  <si>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</si>
  <si>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</si>
  <si>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</si>
  <si>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</si>
  <si>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</si>
  <si>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</si>
  <si>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</si>
  <si>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</si>
  <si>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</si>
  <si>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</si>
  <si>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</si>
  <si>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</si>
  <si>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</si>
  <si>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</si>
  <si>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</si>
  <si>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</si>
  <si>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</si>
  <si>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</si>
  <si>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</si>
  <si>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</si>
  <si>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</si>
  <si>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</si>
  <si>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</si>
  <si>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</si>
  <si>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</si>
  <si>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</si>
  <si>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</si>
  <si>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</si>
  <si>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</si>
  <si>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</si>
  <si>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</si>
  <si>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</si>
  <si>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</si>
  <si>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</si>
  <si>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</si>
  <si>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</si>
  <si>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</si>
  <si>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</si>
  <si>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</si>
  <si>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</si>
  <si>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</si>
  <si>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</si>
  <si>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</si>
  <si>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</si>
  <si>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</si>
  <si>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翠林一里17号楼7层705号</t>
  </si>
  <si>
    <t>——</t>
    <phoneticPr fontId="134" type="noConversion"/>
  </si>
  <si>
    <t>右外翠林一里17号楼806</t>
  </si>
  <si>
    <t>自定义容积率</t>
  </si>
  <si>
    <t>翠林一里</t>
    <phoneticPr fontId="3" type="noConversion"/>
  </si>
  <si>
    <t>较好</t>
  </si>
  <si>
    <t>七通</t>
  </si>
  <si>
    <t>西南</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</si>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</sst>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2D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2D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2D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2D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2D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2D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2D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2D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2D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2D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2D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2D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2D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2D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2D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2D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2D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2D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2D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2D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2D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2D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2D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2D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2D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2D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2D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3.xml"/><Relationship Id="rId26" Type="http://schemas.openxmlformats.org/officeDocument/2006/relationships/control" Target="../activeX/activeX20.xml"/><Relationship Id="rId3" Type="http://schemas.openxmlformats.org/officeDocument/2006/relationships/vmlDrawing" Target="../drawings/vmlDrawing27.vml"/><Relationship Id="rId21" Type="http://schemas.openxmlformats.org/officeDocument/2006/relationships/image" Target="../media/image5.emf"/><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image" Target="../media/image4.emf"/><Relationship Id="rId20" Type="http://schemas.openxmlformats.org/officeDocument/2006/relationships/control" Target="../activeX/activeX15.xml"/><Relationship Id="rId29" Type="http://schemas.openxmlformats.org/officeDocument/2006/relationships/control" Target="../activeX/activeX23.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8.xml"/><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1.xml"/><Relationship Id="rId23" Type="http://schemas.openxmlformats.org/officeDocument/2006/relationships/control" Target="../activeX/activeX17.xml"/><Relationship Id="rId28" Type="http://schemas.openxmlformats.org/officeDocument/2006/relationships/control" Target="../activeX/activeX22.xml"/><Relationship Id="rId10" Type="http://schemas.openxmlformats.org/officeDocument/2006/relationships/control" Target="../activeX/activeX6.xml"/><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image" Target="../media/image6.emf"/></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22"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23"/>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49.02</v>
      </c>
      <c r="D17" s="2320"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31"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0.64200000000000002</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0.64200000000000002</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218.8527</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0.64200000000000002</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313.7672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313.7672</v>
      </c>
      <c r="E14" s="2516">
        <f ca="1">结果表!G20</f>
        <v>64008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3"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3425</v>
      </c>
      <c r="D4" s="1756" t="s">
        <v>3426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v>23</v>
      </c>
      <c r="D5" s="3595">
        <v>5</v>
      </c>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v>13</v>
      </c>
      <c r="D8" s="3595">
        <v>3</v>
      </c>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v>13</v>
      </c>
      <c r="D10" s="3595">
        <v>3</v>
      </c>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v>13</v>
      </c>
      <c r="D12" s="3595">
        <v>4</v>
      </c>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18</v>
      </c>
      <c r="D14" s="3595">
        <v>5</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82" t="s">
        <v>2131</v>
      </c>
      <c r="F18" s="3583"/>
      <c r="G18" s="3583"/>
      <c r="H18" s="3583"/>
      <c r="I18" s="3583"/>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337.49779999999998</v>
      </c>
      <c r="D19" s="135">
        <f ca="1">SUMIF(INDIRECT("'"&amp;D4&amp;"'"&amp;"!A:A"),结果表!B19,INDIRECT("'"&amp;D4&amp;"'"&amp;"!B:B"))</f>
        <v>218.8527</v>
      </c>
      <c r="E19" s="1761" t="s">
        <v>1292</v>
      </c>
      <c r="F19" s="1762" t="s">
        <v>1291</v>
      </c>
      <c r="G19" s="136">
        <f ca="1">ROUND(C19*$C$18+D19*$D$18,0)</f>
        <v>314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68849</v>
      </c>
      <c r="D20" s="138">
        <f ca="1">SUMIF(INDIRECT("'"&amp;D4&amp;"'"&amp;"!A:A"),结果表!B20,INDIRECT("'"&amp;D4&amp;"'"&amp;"!B:B"))</f>
        <v>44646</v>
      </c>
      <c r="E20" s="1764"/>
      <c r="F20" s="1026" t="s">
        <v>1295</v>
      </c>
      <c r="G20" s="139">
        <f ca="1">ROUND(C20*$C$18+D20*$D$18,0)</f>
        <v>64008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0.54212308095810546</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f ca="1">ROUND(G20*'数据-汇总表'!F19,0)</f>
        <v>3137672</v>
      </c>
      <c r="F26" s="129"/>
      <c r="G26" s="129"/>
      <c r="H26" s="129"/>
      <c r="I26" s="129"/>
    </row>
    <row r="27" spans="1:36" ht="14.25">
      <c r="A27" s="1771"/>
      <c r="B27" s="142">
        <f>'数据-汇总表'!F19</f>
        <v>49.02</v>
      </c>
      <c r="C27" s="142">
        <v>15.6</v>
      </c>
      <c r="D27" s="143">
        <f>ROUND(B27*C27,0)</f>
        <v>765</v>
      </c>
      <c r="E27" s="129">
        <f ca="1">E26-D27</f>
        <v>3136907</v>
      </c>
      <c r="F27" s="129"/>
      <c r="G27" s="129"/>
      <c r="H27" s="129"/>
      <c r="I27" s="129"/>
    </row>
    <row r="28" spans="1:36" ht="14.25">
      <c r="A28" s="1771"/>
      <c r="B28" s="142"/>
      <c r="C28" s="142"/>
      <c r="D28" s="143"/>
      <c r="E28" s="129">
        <f ca="1">ROUND(E27/'数据-汇总表'!F19,0)</f>
        <v>63992</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64008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1">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1">
        <v>2</v>
      </c>
      <c r="K47" s="3622" t="s">
        <v>1337</v>
      </c>
      <c r="L47" s="3622"/>
      <c r="M47" s="3643">
        <f>'数据-取费表'!B2</f>
        <v>45052</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22" t="s">
        <v>1340</v>
      </c>
      <c r="L48" s="3622"/>
      <c r="M48" s="3644" t="e">
        <f ca="1">H101</f>
        <v>#REF!</v>
      </c>
      <c r="N48" s="3644"/>
      <c r="O48" s="3644"/>
    </row>
    <row r="49" spans="1:35" ht="25.5" customHeight="1">
      <c r="A49" s="2331" t="s">
        <v>1341</v>
      </c>
      <c r="B49" s="3558" t="s">
        <v>1342</v>
      </c>
      <c r="C49" s="3558"/>
      <c r="D49" s="1590">
        <v>0</v>
      </c>
      <c r="E49" s="324" t="s">
        <v>1343</v>
      </c>
      <c r="F49" s="2422" t="s">
        <v>28</v>
      </c>
      <c r="G49" s="3628"/>
      <c r="H49" s="2308" t="s">
        <v>2134</v>
      </c>
      <c r="I49" s="2309"/>
      <c r="J49" s="2521">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9"/>
      <c r="B50" s="3558" t="s">
        <v>1344</v>
      </c>
      <c r="C50" s="3558"/>
      <c r="D50" s="2550"/>
      <c r="E50" s="332"/>
      <c r="F50" s="2422"/>
      <c r="G50" s="3629"/>
      <c r="H50" s="2310" t="s">
        <v>2135</v>
      </c>
      <c r="I50" s="2309"/>
      <c r="J50" s="3641" t="s">
        <v>1345</v>
      </c>
      <c r="K50" s="3641"/>
      <c r="L50" s="3641"/>
      <c r="M50" s="3641"/>
      <c r="N50" s="3641"/>
      <c r="O50" s="3641"/>
    </row>
    <row r="51" spans="1:35" ht="20.45" customHeight="1">
      <c r="A51" s="2551"/>
      <c r="B51" s="3558" t="s">
        <v>1346</v>
      </c>
      <c r="C51" s="3558"/>
      <c r="D51" s="1087"/>
      <c r="E51" s="327"/>
      <c r="F51" s="2422"/>
      <c r="G51" s="3630"/>
      <c r="H51" s="2310" t="s">
        <v>2136</v>
      </c>
      <c r="I51" s="2309"/>
      <c r="J51" s="2522" t="s">
        <v>1347</v>
      </c>
      <c r="K51" s="3622" t="s">
        <v>1348</v>
      </c>
      <c r="L51" s="3622"/>
      <c r="M51" s="2522" t="s">
        <v>1349</v>
      </c>
      <c r="N51" s="2522" t="s">
        <v>1350</v>
      </c>
      <c r="O51" s="2522" t="s">
        <v>1351</v>
      </c>
    </row>
    <row r="52" spans="1:35" ht="24" customHeight="1">
      <c r="A52" s="2333" t="s">
        <v>1352</v>
      </c>
      <c r="B52" s="3558" t="s">
        <v>1353</v>
      </c>
      <c r="C52" s="3558"/>
      <c r="D52" s="1087" t="e">
        <f ca="1">ROUND(D45*'数据-取费表'!B41/(1+'数据-取费表'!C42),0)</f>
        <v>#REF!</v>
      </c>
      <c r="E52" s="2332" t="s">
        <v>1354</v>
      </c>
      <c r="F52" s="2552">
        <f>'数据-取费表'!B41</f>
        <v>5.6000000000000001E-2</v>
      </c>
      <c r="G52" s="2553"/>
      <c r="H52" s="2542"/>
      <c r="I52" s="1807"/>
      <c r="J52" s="2521">
        <v>1</v>
      </c>
      <c r="K52" s="3623" t="s">
        <v>1355</v>
      </c>
      <c r="L52" s="3623"/>
      <c r="M52" s="2523" t="b">
        <f>D48</f>
        <v>0</v>
      </c>
      <c r="N52" s="2521" t="str">
        <f>E48</f>
        <v>销售额×税（费）率</v>
      </c>
      <c r="O52" s="2524">
        <f>F48</f>
        <v>5.6000000000000001E-2</v>
      </c>
    </row>
    <row r="53" spans="1:35" ht="12" customHeight="1">
      <c r="A53" s="2333" t="s">
        <v>1356</v>
      </c>
      <c r="B53" s="3584" t="s">
        <v>2291</v>
      </c>
      <c r="C53" s="3585"/>
      <c r="D53" s="1087" t="e">
        <f ca="1">ROUND(D45*'数据-取费表'!B41/(1+'数据-取费表'!C42),0)</f>
        <v>#REF!</v>
      </c>
      <c r="E53" s="2332" t="s">
        <v>1354</v>
      </c>
      <c r="F53" s="2552">
        <f>'数据-取费表'!B41</f>
        <v>5.6000000000000001E-2</v>
      </c>
      <c r="G53" s="2553"/>
      <c r="H53" s="2542"/>
      <c r="I53" s="1807"/>
      <c r="J53" s="2521">
        <v>2</v>
      </c>
      <c r="K53" s="3623" t="s">
        <v>1357</v>
      </c>
      <c r="L53" s="3623"/>
      <c r="M53" s="2523" t="e">
        <f t="shared" ref="M53:O54" ca="1" si="0">D55</f>
        <v>#REF!</v>
      </c>
      <c r="N53" s="2521" t="str">
        <f t="shared" si="0"/>
        <v>销售额×税（费）率</v>
      </c>
      <c r="O53" s="2524" t="str">
        <f t="shared" si="0"/>
        <v>免征</v>
      </c>
    </row>
    <row r="54" spans="1:35" ht="12" customHeight="1">
      <c r="A54" s="2333" t="s">
        <v>1358</v>
      </c>
      <c r="B54" s="3584" t="s">
        <v>2292</v>
      </c>
      <c r="C54" s="3585"/>
      <c r="D54" s="1087" t="e">
        <f ca="1">C68</f>
        <v>#REF!</v>
      </c>
      <c r="E54" s="327" t="s">
        <v>1359</v>
      </c>
      <c r="F54" s="2552">
        <f>'数据-取费表'!B41</f>
        <v>5.6000000000000001E-2</v>
      </c>
      <c r="G54" s="2553"/>
      <c r="H54" s="2554"/>
      <c r="I54" s="1807"/>
      <c r="J54" s="2521">
        <v>3</v>
      </c>
      <c r="K54" s="3623" t="s">
        <v>1360</v>
      </c>
      <c r="L54" s="3623"/>
      <c r="M54" s="2523" t="e">
        <f t="shared" ca="1" si="0"/>
        <v>#REF!</v>
      </c>
      <c r="N54" s="2521" t="str">
        <f t="shared" si="0"/>
        <v>增值额×税（费）率</v>
      </c>
      <c r="O54" s="2525" t="str">
        <f t="shared" si="0"/>
        <v>免征</v>
      </c>
    </row>
    <row r="55" spans="1:35" ht="24" customHeight="1">
      <c r="A55" s="3573" t="s">
        <v>1361</v>
      </c>
      <c r="B55" s="3574"/>
      <c r="C55" s="3574"/>
      <c r="D55" s="2322" t="e">
        <f ca="1">IF(H55="个人住宅",0,ROUND(D45*I55,0))</f>
        <v>#REF!</v>
      </c>
      <c r="E55" s="2332"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t="e">
        <f ca="1">D59</f>
        <v>#REF!</v>
      </c>
      <c r="N55" s="2038" t="str">
        <f>E59</f>
        <v>差额计税</v>
      </c>
      <c r="O55" s="2527">
        <f>F59</f>
        <v>0.01</v>
      </c>
    </row>
    <row r="56" spans="1:35" ht="24.75">
      <c r="A56" s="3573" t="s">
        <v>1363</v>
      </c>
      <c r="B56" s="3574"/>
      <c r="C56" s="3574"/>
      <c r="D56" s="2322" t="e">
        <f ca="1">IF(H56="个人住宅",D57,D58)</f>
        <v>#REF!</v>
      </c>
      <c r="E56" s="2332" t="s">
        <v>1364</v>
      </c>
      <c r="F56" s="2552" t="str">
        <f>IF(H56="正常",F58,"免征")</f>
        <v>免征</v>
      </c>
      <c r="G56" s="2555" t="s">
        <v>1365</v>
      </c>
      <c r="H56" s="2556"/>
      <c r="I56" s="1808"/>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90">
        <v>0</v>
      </c>
      <c r="E57" s="324" t="s">
        <v>1343</v>
      </c>
      <c r="F57" s="302"/>
      <c r="G57" s="2553"/>
      <c r="H57" s="2557"/>
      <c r="I57" s="1808"/>
      <c r="J57" s="3623">
        <f>IF(AND(J55="",J56=""),4,IF(项目基本情况!K6="上海银行",结果表!J56+1,结果表!J55+1))</f>
        <v>5</v>
      </c>
      <c r="K57" s="3623" t="s">
        <v>1367</v>
      </c>
      <c r="L57" s="2528" t="s">
        <v>1368</v>
      </c>
      <c r="M57" s="2529"/>
      <c r="N57" s="2530">
        <f ca="1">SUMIF(M52:M56,"&lt;9e307")</f>
        <v>0</v>
      </c>
      <c r="O57" s="2531"/>
      <c r="P57" s="2688" t="e">
        <f ca="1">N57/M49</f>
        <v>#VALUE!</v>
      </c>
    </row>
    <row r="58" spans="1:35" ht="24.75">
      <c r="A58" s="2333" t="s">
        <v>1352</v>
      </c>
      <c r="B58" s="3584" t="s">
        <v>1369</v>
      </c>
      <c r="C58" s="3558"/>
      <c r="D58" s="2322" t="e">
        <f ca="1">IF(H58="转让取得",C81,C97)</f>
        <v>#REF!</v>
      </c>
      <c r="E58" s="2332" t="s">
        <v>1364</v>
      </c>
      <c r="F58" s="302" t="s">
        <v>28</v>
      </c>
      <c r="G58" s="2553"/>
      <c r="H58" s="2556"/>
      <c r="I58" s="1808"/>
      <c r="J58" s="3623"/>
      <c r="K58" s="3623"/>
      <c r="L58" s="2528" t="s">
        <v>1370</v>
      </c>
      <c r="M58" s="2532"/>
      <c r="N58" s="2533" t="str">
        <f ca="1">NUMBERSTRING(INT(N57*10000),2)&amp;"元整"</f>
        <v>零元整</v>
      </c>
      <c r="O58" s="2534"/>
    </row>
    <row r="59" spans="1:35" ht="24.75" thickBot="1">
      <c r="A59" s="3626" t="s">
        <v>1371</v>
      </c>
      <c r="B59" s="3627"/>
      <c r="C59" s="362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4">
        <f>J57+1</f>
        <v>6</v>
      </c>
      <c r="K59" s="3623" t="s">
        <v>1372</v>
      </c>
      <c r="L59" s="2521" t="s">
        <v>1368</v>
      </c>
      <c r="M59" s="2535"/>
      <c r="N59" s="2536" t="e">
        <f ca="1">M49-N57</f>
        <v>#VALUE!</v>
      </c>
      <c r="O59" s="2537"/>
    </row>
    <row r="60" spans="1:35" ht="12" customHeight="1">
      <c r="A60" s="1809"/>
      <c r="B60" s="1747"/>
      <c r="C60" s="1747"/>
      <c r="D60" s="1747"/>
      <c r="E60" s="1578"/>
      <c r="F60" s="1808"/>
      <c r="G60" s="1808"/>
      <c r="H60" s="1810"/>
      <c r="I60" s="129"/>
      <c r="J60" s="3625"/>
      <c r="K60" s="3623"/>
      <c r="L60" s="2528" t="s">
        <v>1370</v>
      </c>
      <c r="M60" s="2532"/>
      <c r="N60" s="2533" t="e">
        <f ca="1">NUMBERSTRING(INT(N59*10000),2)&amp;"元整"</f>
        <v>#VALUE!</v>
      </c>
      <c r="O60" s="2534"/>
    </row>
    <row r="61" spans="1:35" ht="13.5" thickBot="1">
      <c r="A61" s="3571" t="s">
        <v>1373</v>
      </c>
      <c r="B61" s="3571"/>
      <c r="C61" s="3571"/>
      <c r="D61" s="3571"/>
      <c r="E61" s="3571"/>
      <c r="F61" s="1808"/>
      <c r="G61" s="1808"/>
      <c r="H61" s="1810"/>
      <c r="I61" s="129"/>
      <c r="J61" s="2521">
        <f>J59+1</f>
        <v>7</v>
      </c>
      <c r="K61" s="3623" t="s">
        <v>1374</v>
      </c>
      <c r="L61" s="3623"/>
      <c r="M61" s="2538"/>
      <c r="N61" s="2539" t="e">
        <f ca="1">ROUND(N59*10000/'数据-汇总表'!E3,0)</f>
        <v>#VALUE!</v>
      </c>
      <c r="O61" s="2540"/>
    </row>
    <row r="62" spans="1:35" ht="12.75">
      <c r="A62" s="3589" t="s">
        <v>1375</v>
      </c>
      <c r="B62" s="3590"/>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650" t="s">
        <v>2129</v>
      </c>
      <c r="H90" s="365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比较法-住宅</v>
      </c>
      <c r="D101" s="2584" t="str">
        <f>D4</f>
        <v>收益法 (元)</v>
      </c>
      <c r="E101" s="3645" t="s">
        <v>1431</v>
      </c>
      <c r="F101" s="3602"/>
      <c r="G101" s="1827" t="s">
        <v>1432</v>
      </c>
      <c r="H101" s="2593" t="e">
        <f ca="1">H118</f>
        <v>#REF!</v>
      </c>
      <c r="I101" s="129"/>
    </row>
    <row r="102" spans="1:35" ht="18.75" customHeight="1">
      <c r="A102" s="3604" t="s">
        <v>1433</v>
      </c>
      <c r="B102" s="2582" t="s">
        <v>1432</v>
      </c>
      <c r="C102" s="2583">
        <f ca="1">IF(D32="楼面单价",ROUND(C19,0),C19)</f>
        <v>337.49779999999998</v>
      </c>
      <c r="D102" s="2584">
        <f ca="1">IF(D32="楼面单价",ROUND(D19,0),D19)</f>
        <v>218.8527</v>
      </c>
      <c r="E102" s="3645"/>
      <c r="F102" s="3602"/>
      <c r="G102" s="1827" t="s">
        <v>1434</v>
      </c>
      <c r="H102" s="2553" t="e">
        <f ca="1">I118</f>
        <v>#REF!</v>
      </c>
      <c r="I102" s="129"/>
    </row>
    <row r="103" spans="1:35" ht="42.75" customHeight="1">
      <c r="A103" s="3604"/>
      <c r="B103" s="2582" t="s">
        <v>1434</v>
      </c>
      <c r="C103" s="2585">
        <f ca="1">C20</f>
        <v>68849</v>
      </c>
      <c r="D103" s="2586">
        <f ca="1">D20</f>
        <v>44646</v>
      </c>
      <c r="E103" s="3639" t="s">
        <v>1435</v>
      </c>
      <c r="F103" s="3640"/>
      <c r="G103" s="1828" t="s">
        <v>1436</v>
      </c>
      <c r="H103" s="2593">
        <f>IF(D36="正常操作",H104+H105+H106,H105+H106)</f>
        <v>0</v>
      </c>
      <c r="I103" s="129"/>
    </row>
    <row r="104" spans="1:35" ht="18.75" customHeight="1">
      <c r="A104" s="360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t="e">
        <f ca="1">IF(E107="——","——",H101-H103)</f>
        <v>#REF!</v>
      </c>
      <c r="I107" s="129"/>
    </row>
    <row r="108" spans="1:35" ht="18.75" customHeight="1">
      <c r="A108" s="129"/>
      <c r="B108" s="129"/>
      <c r="C108" s="129"/>
      <c r="D108" s="129"/>
      <c r="E108" s="3601"/>
      <c r="F108" s="3602"/>
      <c r="G108" s="1827"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3" t="str">
        <f>IF(E111="——","——",N59)</f>
        <v>——</v>
      </c>
      <c r="I111" s="129"/>
    </row>
    <row r="112" spans="1:35" ht="18.75" customHeight="1" thickBot="1">
      <c r="A112" s="129"/>
      <c r="B112" s="129"/>
      <c r="C112" s="129"/>
      <c r="D112" s="129"/>
      <c r="E112" s="3634"/>
      <c r="F112" s="3635"/>
      <c r="G112" s="1830"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12168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2482252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2400</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2400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7</v>
      </c>
      <c r="D45" s="235">
        <f ca="1">C47</f>
        <v>6.0000000000000001E-3</v>
      </c>
      <c r="E45" s="236" t="s">
        <v>1539</v>
      </c>
      <c r="F45" s="246">
        <f ca="1">F27</f>
        <v>0.3</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0.64200000000000002</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12168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10106</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-2400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10106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C36"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218.8527</v>
      </c>
      <c r="C2" s="1387" t="s">
        <v>879</v>
      </c>
      <c r="D2" s="1471">
        <f ca="1">C40+J29+L46</f>
        <v>2188527</v>
      </c>
      <c r="E2" s="1388" t="s">
        <v>880</v>
      </c>
      <c r="F2" s="1389"/>
      <c r="G2" s="2704"/>
      <c r="H2" s="2693"/>
      <c r="I2" s="2693"/>
      <c r="J2" s="2693"/>
      <c r="K2" s="2694"/>
      <c r="L2" s="2693"/>
      <c r="M2" s="2693"/>
    </row>
    <row r="3" spans="1:37" ht="18" customHeight="1" thickBot="1">
      <c r="A3" s="1390" t="s">
        <v>881</v>
      </c>
      <c r="B3" s="1391">
        <f ca="1">IF(ISERROR(D2/F43),0,ROUND(D2/F43,0))</f>
        <v>44646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215404</v>
      </c>
      <c r="D13" s="1081" t="s">
        <v>705</v>
      </c>
      <c r="E13" s="1081" t="s">
        <v>706</v>
      </c>
      <c r="F13" s="1082">
        <f ca="1">INDIRECT("'数据-取费表'!y"&amp;$G$1)</f>
        <v>0.64200000000000002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335520</v>
      </c>
      <c r="K14" s="12"/>
      <c r="L14" s="807"/>
      <c r="M14" s="808"/>
    </row>
    <row r="15" spans="1:37" s="1397" customFormat="1" ht="18" customHeight="1" thickBot="1">
      <c r="A15" s="982" t="s">
        <v>399</v>
      </c>
      <c r="B15" s="302" t="s">
        <v>710</v>
      </c>
      <c r="C15" s="21">
        <f ca="1">ROUND(C14*F15,0)</f>
        <v>5882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3355</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224511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4490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3355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10877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-3355</v>
      </c>
      <c r="K25" s="1095" t="s">
        <v>753</v>
      </c>
      <c r="L25" s="1096"/>
      <c r="M25" s="1097"/>
    </row>
    <row r="26" spans="1:37" ht="18" customHeight="1">
      <c r="A26" s="982" t="s">
        <v>397</v>
      </c>
      <c r="B26" s="302" t="s">
        <v>754</v>
      </c>
      <c r="C26" s="21">
        <f ca="1">ROUND((C19+C20)*F26,0)</f>
        <v>68700</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335520</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5498</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3355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215</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51573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2188527</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44646</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-226.42189999999999</v>
      </c>
      <c r="D45" s="3430" t="s">
        <v>3357</v>
      </c>
      <c r="E45" s="1400"/>
      <c r="F45" s="1400"/>
      <c r="O45" s="1403" t="s">
        <v>808</v>
      </c>
      <c r="P45" s="1461"/>
      <c r="Q45" s="1461"/>
      <c r="R45" s="1461"/>
    </row>
    <row r="46" spans="1:18" s="1384" customFormat="1" ht="13.5" thickBot="1">
      <c r="A46" s="1404" t="s">
        <v>809</v>
      </c>
      <c r="C46" s="1405">
        <f ca="1">ROUND(C45,0)</f>
        <v>-226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2188527</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335520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656041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2188527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215404</v>
      </c>
      <c r="D56" s="1447"/>
      <c r="E56" s="1448"/>
      <c r="F56" s="1440"/>
      <c r="I56" s="1449" t="s">
        <v>842</v>
      </c>
      <c r="J56" s="1450" t="s">
        <v>3410</v>
      </c>
      <c r="K56" s="1421" t="s">
        <v>843</v>
      </c>
      <c r="L56" s="1424">
        <f ca="1">IF(L48&lt;J51,"——",L48-J51)</f>
        <v>35</v>
      </c>
      <c r="O56" s="1418" t="s">
        <v>403</v>
      </c>
      <c r="P56" s="1419" t="s">
        <v>817</v>
      </c>
      <c r="Q56" s="1420">
        <f ca="1">C40+J29</f>
        <v>2188527</v>
      </c>
      <c r="R56" s="1420" t="s">
        <v>818</v>
      </c>
    </row>
    <row r="57" spans="1:18" s="1384" customFormat="1" ht="24.75" thickBot="1">
      <c r="A57" s="1451"/>
      <c r="B57" s="950" t="s">
        <v>767</v>
      </c>
      <c r="C57" s="238">
        <f ca="1">C29</f>
        <v>335520</v>
      </c>
      <c r="D57" s="1452"/>
      <c r="E57" s="1453"/>
      <c r="F57" s="1454"/>
      <c r="I57" s="1455" t="s">
        <v>844</v>
      </c>
      <c r="J57" s="1456" t="str">
        <f ca="1">IF(OR(M47="住宅",J51&lt;L48,J56="是"),"——",J51-L48)</f>
        <v>——</v>
      </c>
      <c r="K57" s="1421" t="s">
        <v>892</v>
      </c>
      <c r="L57" s="1424">
        <f ca="1">IF(L48&lt;J51,"——",IF(L55="比较法",L49,IF(L55="基准地价",L50,L51)))</f>
        <v>656041</v>
      </c>
      <c r="O57" s="1418" t="s">
        <v>404</v>
      </c>
      <c r="P57" s="1419" t="s">
        <v>893</v>
      </c>
      <c r="Q57" s="1420">
        <f ca="1">L60</f>
        <v>0</v>
      </c>
      <c r="R57" s="1420" t="s">
        <v>894</v>
      </c>
    </row>
    <row r="58" spans="1:18" s="1384" customFormat="1" ht="24.75" thickBot="1">
      <c r="A58" s="315" t="s">
        <v>393</v>
      </c>
      <c r="B58" s="958" t="s">
        <v>714</v>
      </c>
      <c r="C58" s="316">
        <f ca="1">ROUND(C59+C64+C65+C66,0)</f>
        <v>3570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2188527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3355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215</v>
      </c>
      <c r="D65" s="964" t="s">
        <v>743</v>
      </c>
      <c r="E65" s="950" t="s">
        <v>744</v>
      </c>
      <c r="F65" s="330">
        <f t="shared" ca="1" si="0"/>
        <v>1E-3</v>
      </c>
      <c r="I65" s="1462" t="s">
        <v>867</v>
      </c>
      <c r="J65" s="1463">
        <v>40</v>
      </c>
      <c r="K65" s="1463">
        <v>30</v>
      </c>
      <c r="L65" s="1463">
        <v>50</v>
      </c>
      <c r="M65" s="1465">
        <v>0.02</v>
      </c>
      <c r="O65" s="1418" t="s">
        <v>403</v>
      </c>
      <c r="P65" s="1419" t="s">
        <v>868</v>
      </c>
      <c r="Q65" s="1420">
        <f ca="1">C40+J29</f>
        <v>2188527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-3570</v>
      </c>
      <c r="D67" s="963" t="s">
        <v>753</v>
      </c>
      <c r="E67" s="968"/>
      <c r="F67" s="969"/>
      <c r="O67" s="1428" t="s">
        <v>405</v>
      </c>
      <c r="P67" s="1419" t="s">
        <v>850</v>
      </c>
      <c r="Q67" s="1466">
        <f ca="1">L51</f>
        <v>656041</v>
      </c>
      <c r="R67" s="1420" t="s">
        <v>870</v>
      </c>
    </row>
    <row r="68" spans="1:18" s="1384" customFormat="1" ht="16.5" thickBot="1">
      <c r="A68" s="947" t="s">
        <v>395</v>
      </c>
      <c r="B68" s="948" t="s">
        <v>774</v>
      </c>
      <c r="C68" s="301">
        <f ca="1">ROUND(C67*(1-((1+F70)/(1+F68))^F69)/(F68-F70),0)</f>
        <v>-75692</v>
      </c>
      <c r="D68" s="965" t="s">
        <v>758</v>
      </c>
      <c r="E68" s="950" t="s">
        <v>759</v>
      </c>
      <c r="F68" s="312">
        <f ca="1">F40</f>
        <v>4.4999999999999998E-2</v>
      </c>
      <c r="O68" s="1428" t="s">
        <v>406</v>
      </c>
      <c r="P68" s="1467" t="s">
        <v>871</v>
      </c>
      <c r="Q68" s="1420">
        <f ca="1">ROUND(Q69-Q70*Q71,0)</f>
        <v>37572</v>
      </c>
      <c r="R68" s="1420" t="s">
        <v>414</v>
      </c>
    </row>
    <row r="69" spans="1:18" s="1384" customFormat="1" ht="13.5" thickBot="1">
      <c r="A69" s="951"/>
      <c r="B69" s="952"/>
      <c r="C69" s="306"/>
      <c r="D69" s="970" t="s">
        <v>762</v>
      </c>
      <c r="E69" s="950" t="s">
        <v>763</v>
      </c>
      <c r="F69" s="333">
        <f ca="1">F41</f>
        <v>70</v>
      </c>
      <c r="O69" s="1428" t="s">
        <v>411</v>
      </c>
      <c r="P69" s="1467" t="s">
        <v>872</v>
      </c>
      <c r="Q69" s="1420">
        <f ca="1">C39</f>
        <v>51573</v>
      </c>
      <c r="R69" s="1420" t="s">
        <v>818</v>
      </c>
    </row>
    <row r="70" spans="1:18" s="1384" customFormat="1" ht="13.5" thickBot="1">
      <c r="A70" s="954"/>
      <c r="B70" s="955"/>
      <c r="C70" s="310"/>
      <c r="D70" s="966"/>
      <c r="E70" s="950" t="s">
        <v>766</v>
      </c>
      <c r="F70" s="1054"/>
      <c r="O70" s="1428" t="s">
        <v>412</v>
      </c>
      <c r="P70" s="1467" t="s">
        <v>873</v>
      </c>
      <c r="Q70" s="1420">
        <f ca="1">C13</f>
        <v>215404</v>
      </c>
      <c r="R70" s="1420" t="s">
        <v>818</v>
      </c>
    </row>
    <row r="71" spans="1:18" s="1384" customFormat="1" ht="13.5" thickBot="1">
      <c r="A71" s="971" t="s">
        <v>396</v>
      </c>
      <c r="B71" s="972" t="s">
        <v>776</v>
      </c>
      <c r="C71" s="336">
        <f ca="1">ROUND(C68/F71,0)</f>
        <v>-1544</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14001</v>
      </c>
      <c r="D75" s="1384"/>
      <c r="E75" s="1384"/>
      <c r="F75" s="1384"/>
      <c r="K75" s="1402"/>
      <c r="L75" s="1384"/>
      <c r="O75" s="1418" t="s">
        <v>409</v>
      </c>
      <c r="P75" s="1419" t="s">
        <v>838</v>
      </c>
      <c r="Q75" s="1420">
        <f ca="1">Q65+Q66</f>
        <v>2188527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0.72899999999999998</v>
      </c>
    </row>
    <row r="80" spans="1:18">
      <c r="B80" s="340" t="s">
        <v>800</v>
      </c>
      <c r="C80" s="274">
        <f ca="1">ROUND(C75/C39,3)</f>
        <v>0.27100000000000002</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6" t="s">
        <v>2320</v>
      </c>
      <c r="K2" s="366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8" t="s">
        <v>2330</v>
      </c>
      <c r="K3" s="366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8" t="s">
        <v>2332</v>
      </c>
      <c r="K4" s="366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60">
        <v>1</v>
      </c>
      <c r="K6" s="366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0"/>
      <c r="K7" s="366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7" t="s">
        <v>2350</v>
      </c>
      <c r="C8" s="3678"/>
      <c r="D8" s="2887" t="s">
        <v>2351</v>
      </c>
      <c r="E8" s="2888" t="s">
        <v>2352</v>
      </c>
      <c r="F8" s="2889" t="s">
        <v>2353</v>
      </c>
      <c r="G8" s="2890"/>
      <c r="H8" s="2846"/>
      <c r="I8" s="2847"/>
      <c r="J8" s="3660"/>
      <c r="K8" s="366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7" t="s">
        <v>2356</v>
      </c>
      <c r="C9" s="3678"/>
      <c r="D9" s="2887">
        <f>ROUND(D6*E9,0)</f>
        <v>0</v>
      </c>
      <c r="E9" s="2891"/>
      <c r="F9" s="2892" t="s">
        <v>2357</v>
      </c>
      <c r="G9" s="2871"/>
      <c r="H9" s="2846"/>
      <c r="I9" s="2847"/>
      <c r="J9" s="3660"/>
      <c r="K9" s="3662"/>
      <c r="L9" s="2881" t="s">
        <v>2358</v>
      </c>
      <c r="M9" s="2882"/>
      <c r="N9" s="2858"/>
      <c r="O9" s="2883"/>
      <c r="P9" s="2883"/>
      <c r="Q9" s="2884">
        <v>365</v>
      </c>
      <c r="R9" s="2885">
        <f t="shared" si="0"/>
        <v>0</v>
      </c>
      <c r="S9" s="2839"/>
      <c r="T9" s="2839"/>
      <c r="U9" s="2839"/>
      <c r="V9" s="2847"/>
    </row>
    <row r="10" spans="1:22" s="2851" customFormat="1" ht="13.15" customHeight="1">
      <c r="A10" s="2886">
        <v>2</v>
      </c>
      <c r="B10" s="3677" t="s">
        <v>2359</v>
      </c>
      <c r="C10" s="3678"/>
      <c r="D10" s="2887">
        <f>ROUND(D6*E10,0)</f>
        <v>0</v>
      </c>
      <c r="E10" s="2891"/>
      <c r="F10" s="2892" t="s">
        <v>2360</v>
      </c>
      <c r="G10" s="2871"/>
      <c r="H10" s="2846"/>
      <c r="I10" s="2847"/>
      <c r="J10" s="3660"/>
      <c r="K10" s="3662"/>
      <c r="L10" s="2881" t="s">
        <v>2361</v>
      </c>
      <c r="M10" s="2882"/>
      <c r="N10" s="2858"/>
      <c r="O10" s="2883"/>
      <c r="P10" s="2883"/>
      <c r="Q10" s="2884">
        <v>365</v>
      </c>
      <c r="R10" s="2885">
        <f t="shared" si="0"/>
        <v>0</v>
      </c>
      <c r="S10" s="2839"/>
      <c r="T10" s="2839"/>
      <c r="U10" s="2839"/>
      <c r="V10" s="2847"/>
    </row>
    <row r="11" spans="1:22" s="2851" customFormat="1" ht="13.15" customHeight="1">
      <c r="A11" s="2886">
        <v>3</v>
      </c>
      <c r="B11" s="3677" t="s">
        <v>2362</v>
      </c>
      <c r="C11" s="3678"/>
      <c r="D11" s="2887">
        <f>D12+D14+D15+D16</f>
        <v>0</v>
      </c>
      <c r="E11" s="2893" t="e">
        <f>D11/D6</f>
        <v>#DIV/0!</v>
      </c>
      <c r="F11" s="2889"/>
      <c r="G11" s="2890"/>
      <c r="H11" s="2846"/>
      <c r="I11" s="2847"/>
      <c r="J11" s="3660"/>
      <c r="K11" s="366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0" t="s">
        <v>2365</v>
      </c>
      <c r="C12" s="3671"/>
      <c r="D12" s="2895">
        <f>ROUND(D13*1.2%*(1-30%),0)</f>
        <v>0</v>
      </c>
      <c r="E12" s="2896">
        <v>1.2E-2</v>
      </c>
      <c r="F12" s="2889" t="s">
        <v>2366</v>
      </c>
      <c r="G12" s="2890"/>
      <c r="H12" s="2846"/>
      <c r="I12" s="2847"/>
      <c r="J12" s="3660"/>
      <c r="K12" s="366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0"/>
      <c r="K13" s="366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0" t="s">
        <v>2371</v>
      </c>
      <c r="C14" s="3671"/>
      <c r="D14" s="2895">
        <f>ROUND(E14*B5/10000,0)</f>
        <v>0</v>
      </c>
      <c r="E14" s="2884"/>
      <c r="F14" s="2889" t="s">
        <v>2372</v>
      </c>
      <c r="G14" s="2890"/>
      <c r="H14" s="2846"/>
      <c r="I14" s="2847"/>
      <c r="J14" s="3660"/>
      <c r="K14" s="366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0" t="s">
        <v>2375</v>
      </c>
      <c r="C15" s="3671"/>
      <c r="D15" s="2895">
        <f>ROUND(D6*E15,0)</f>
        <v>0</v>
      </c>
      <c r="E15" s="2896">
        <v>5.5E-2</v>
      </c>
      <c r="F15" s="2889" t="s">
        <v>2376</v>
      </c>
      <c r="G15" s="2871"/>
      <c r="H15" s="2846"/>
      <c r="I15" s="2847"/>
      <c r="J15" s="3660">
        <v>2</v>
      </c>
      <c r="K15" s="366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0" t="s">
        <v>2384</v>
      </c>
      <c r="C16" s="3671"/>
      <c r="D16" s="2906">
        <f>D6*E16</f>
        <v>0</v>
      </c>
      <c r="E16" s="2907"/>
      <c r="F16" s="2892" t="s">
        <v>2385</v>
      </c>
      <c r="G16" s="2871"/>
      <c r="H16" s="2846"/>
      <c r="I16" s="2847"/>
      <c r="J16" s="3660"/>
      <c r="K16" s="366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2" t="s">
        <v>2387</v>
      </c>
      <c r="C17" s="3673"/>
      <c r="D17" s="2909">
        <f>ROUND(D6*E17,0)</f>
        <v>0</v>
      </c>
      <c r="E17" s="2910"/>
      <c r="F17" s="2911" t="s">
        <v>2388</v>
      </c>
      <c r="G17" s="2871"/>
      <c r="H17" s="2846"/>
      <c r="I17" s="2847"/>
      <c r="J17" s="3660"/>
      <c r="K17" s="366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0"/>
      <c r="K18" s="366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0"/>
      <c r="K19" s="366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0"/>
      <c r="K21" s="366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0"/>
      <c r="K22" s="366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0"/>
      <c r="K23" s="366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0"/>
      <c r="K24" s="366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6" t="s">
        <v>2320</v>
      </c>
      <c r="K32" s="366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8" t="s">
        <v>2330</v>
      </c>
      <c r="K33" s="366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8" t="s">
        <v>2332</v>
      </c>
      <c r="K34" s="366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0">
        <v>1</v>
      </c>
      <c r="K36" s="366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0"/>
      <c r="K40" s="366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218.8527</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44646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218.8527</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C31" zoomScale="90" zoomScaleNormal="60" zoomScaleSheetLayoutView="90" workbookViewId="0">
      <selection activeCell="G105" sqref="G10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337.49779999999998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68849</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3"/>
      <c r="M4" s="2714"/>
      <c r="N4" s="2714"/>
      <c r="O4" s="2714"/>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23" t="s">
        <v>3439</v>
      </c>
      <c r="D5" s="3719"/>
      <c r="E5" s="3726" t="str">
        <f>C5</f>
        <v>翠林一里</v>
      </c>
      <c r="F5" s="3727"/>
      <c r="G5" s="3718" t="str">
        <f>C5</f>
        <v>翠林一里</v>
      </c>
      <c r="H5" s="3719"/>
      <c r="I5" s="3718" t="str">
        <f>C5</f>
        <v>翠林一里</v>
      </c>
      <c r="J5" s="3719"/>
      <c r="K5" s="1890"/>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1890"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720" t="s">
        <v>1680</v>
      </c>
      <c r="Q7" s="3722"/>
      <c r="R7" s="701" t="s">
        <v>20</v>
      </c>
      <c r="S7" s="702">
        <f t="shared" ref="S7:S15" si="0">F7</f>
        <v>100</v>
      </c>
      <c r="T7" s="701" t="s">
        <v>20</v>
      </c>
      <c r="U7" s="702">
        <f t="shared" ref="U7:U15" si="1">H7</f>
        <v>100</v>
      </c>
      <c r="V7" s="701" t="s">
        <v>20</v>
      </c>
      <c r="W7" s="702">
        <f t="shared" ref="W7:W15" si="2">J7</f>
        <v>100</v>
      </c>
      <c r="X7" s="703"/>
      <c r="Y7" s="3720" t="s">
        <v>1680</v>
      </c>
      <c r="Z7" s="3721"/>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5"/>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t="s">
        <v>3440</v>
      </c>
      <c r="D16" s="399"/>
      <c r="E16" s="398" t="s">
        <v>3440</v>
      </c>
      <c r="F16" s="399"/>
      <c r="G16" s="398" t="s">
        <v>3440</v>
      </c>
      <c r="H16" s="401"/>
      <c r="I16" s="398" t="s">
        <v>3440</v>
      </c>
      <c r="J16" s="399"/>
      <c r="K16" s="1899"/>
      <c r="L16" s="2720"/>
      <c r="M16" s="2714"/>
      <c r="N16" s="2714"/>
      <c r="O16" s="2714"/>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t="s">
        <v>3440</v>
      </c>
      <c r="D18" s="401"/>
      <c r="E18" s="1901" t="s">
        <v>3440</v>
      </c>
      <c r="F18" s="401"/>
      <c r="G18" s="1901" t="s">
        <v>3440</v>
      </c>
      <c r="H18" s="399"/>
      <c r="I18" s="1901" t="s">
        <v>3440</v>
      </c>
      <c r="J18" s="399"/>
      <c r="K18" s="1899"/>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t="s">
        <v>3440</v>
      </c>
      <c r="D20" s="399"/>
      <c r="E20" s="398" t="s">
        <v>3440</v>
      </c>
      <c r="F20" s="399"/>
      <c r="G20" s="398" t="s">
        <v>3440</v>
      </c>
      <c r="H20" s="399"/>
      <c r="I20" s="398" t="s">
        <v>3440</v>
      </c>
      <c r="J20" s="399"/>
      <c r="K20" s="1899"/>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3441</v>
      </c>
      <c r="D22" s="399"/>
      <c r="E22" s="1901" t="s">
        <v>3441</v>
      </c>
      <c r="F22" s="399"/>
      <c r="G22" s="1901" t="s">
        <v>3441</v>
      </c>
      <c r="H22" s="399"/>
      <c r="I22" s="1901" t="s">
        <v>3441</v>
      </c>
      <c r="J22" s="399"/>
      <c r="K22" s="1905"/>
      <c r="L22" s="2720"/>
      <c r="M22" s="2714"/>
      <c r="N22" s="2714"/>
      <c r="O22" s="2714"/>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t="s">
        <v>3440</v>
      </c>
      <c r="D24" s="399"/>
      <c r="E24" s="398" t="s">
        <v>3440</v>
      </c>
      <c r="F24" s="399"/>
      <c r="G24" s="398" t="s">
        <v>3440</v>
      </c>
      <c r="H24" s="399"/>
      <c r="I24" s="398" t="s">
        <v>3440</v>
      </c>
      <c r="J24" s="399"/>
      <c r="K24" s="1899"/>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3444</v>
      </c>
      <c r="D26" s="386">
        <v>100</v>
      </c>
      <c r="E26" s="1906" t="s">
        <v>3444</v>
      </c>
      <c r="F26" s="386">
        <f>SUMIF(88:88,E26,89:89)-SUMIF(88:88,C26,89:89)+100</f>
        <v>100</v>
      </c>
      <c r="G26" s="1907" t="s">
        <v>3444</v>
      </c>
      <c r="H26" s="386">
        <f>SUMIF(88:88,G26,89:89)-SUMIF(88:88,C26,89:89)+100</f>
        <v>100</v>
      </c>
      <c r="I26" s="1907" t="s">
        <v>3442</v>
      </c>
      <c r="J26" s="386">
        <f>SUMIF(88:88,I26,89:89)-SUMIF(88:88,C26,89:89)+100</f>
        <v>101</v>
      </c>
      <c r="K26" s="377">
        <v>1</v>
      </c>
      <c r="L26" s="2720"/>
      <c r="M26" s="2714"/>
      <c r="N26" s="2714"/>
      <c r="O26" s="2714"/>
      <c r="P26" s="3694"/>
      <c r="Q26" s="1352" t="str">
        <f t="shared" si="11"/>
        <v>朝向</v>
      </c>
      <c r="R26" s="705" t="s">
        <v>18</v>
      </c>
      <c r="S26" s="706">
        <f t="shared" si="12"/>
        <v>100</v>
      </c>
      <c r="T26" s="705" t="s">
        <v>18</v>
      </c>
      <c r="U26" s="706">
        <f t="shared" si="13"/>
        <v>100</v>
      </c>
      <c r="V26" s="705" t="s">
        <v>18</v>
      </c>
      <c r="W26" s="706">
        <f t="shared" si="14"/>
        <v>101</v>
      </c>
      <c r="X26" s="1355"/>
      <c r="Y26" s="3687"/>
      <c r="Z26" s="1356" t="str">
        <f>Q26</f>
        <v>朝向</v>
      </c>
      <c r="AA26" s="1353">
        <f t="shared" si="15"/>
        <v>1</v>
      </c>
      <c r="AB26" s="1353">
        <f t="shared" si="16"/>
        <v>1</v>
      </c>
      <c r="AC26" s="1353">
        <f t="shared" si="17"/>
        <v>0.99009900990099009</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694"/>
      <c r="Q27" s="1343">
        <f t="shared" si="11"/>
        <v>111</v>
      </c>
      <c r="R27" s="701" t="s">
        <v>18</v>
      </c>
      <c r="S27" s="702">
        <f t="shared" si="12"/>
        <v>98</v>
      </c>
      <c r="T27" s="701" t="s">
        <v>18</v>
      </c>
      <c r="U27" s="702">
        <f t="shared" si="13"/>
        <v>98</v>
      </c>
      <c r="V27" s="701" t="s">
        <v>18</v>
      </c>
      <c r="W27" s="702">
        <f t="shared" si="14"/>
        <v>100</v>
      </c>
      <c r="X27" s="703"/>
      <c r="Y27" s="3687"/>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t="s">
        <v>3446</v>
      </c>
      <c r="D32" s="418">
        <v>100</v>
      </c>
      <c r="E32" s="1910" t="s">
        <v>3446</v>
      </c>
      <c r="F32" s="412">
        <f>SUMIF(100:100,E32,101:101)-SUMIF(100:100,C32,101:101)+100</f>
        <v>100</v>
      </c>
      <c r="G32" s="1910" t="s">
        <v>3446</v>
      </c>
      <c r="H32" s="418">
        <f>SUMIF(100:100,G32,101:101)-SUMIF(100:100,C32,101:101)+100</f>
        <v>100</v>
      </c>
      <c r="I32" s="1910" t="s">
        <v>3446</v>
      </c>
      <c r="J32" s="386">
        <f>SUMIF(100:100,I32,101:101)-SUMIF(100:100,C32,101:101)+100</f>
        <v>100</v>
      </c>
      <c r="K32" s="377"/>
      <c r="L32" s="2720"/>
      <c r="M32" s="2714"/>
      <c r="N32" s="2714"/>
      <c r="O32" s="2714"/>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97</v>
      </c>
      <c r="I33" s="381">
        <f>Sheet1!$D$5</f>
        <v>49.02</v>
      </c>
      <c r="J33" s="127">
        <f>LOOKUP(I33,103:103,104:104)-LOOKUP(C33,103:103,104:104)+100</f>
        <v>100</v>
      </c>
      <c r="K33" s="1894"/>
      <c r="L33" s="2719"/>
      <c r="M33" s="2721"/>
      <c r="N33" s="2721"/>
      <c r="O33" s="2721"/>
      <c r="P33" s="3689"/>
      <c r="Q33" s="707" t="str">
        <f t="shared" si="11"/>
        <v>项目建筑规模</v>
      </c>
      <c r="R33" s="708" t="s">
        <v>18</v>
      </c>
      <c r="S33" s="709">
        <f t="shared" si="12"/>
        <v>100</v>
      </c>
      <c r="T33" s="708" t="s">
        <v>18</v>
      </c>
      <c r="U33" s="709">
        <f t="shared" si="13"/>
        <v>97</v>
      </c>
      <c r="V33" s="708" t="s">
        <v>18</v>
      </c>
      <c r="W33" s="709">
        <f t="shared" si="14"/>
        <v>100</v>
      </c>
      <c r="X33" s="710"/>
      <c r="Y33" s="3691"/>
      <c r="Z33" s="711" t="str">
        <f t="shared" si="18"/>
        <v>项目建筑规模</v>
      </c>
      <c r="AA33" s="1353">
        <f t="shared" si="15"/>
        <v>1</v>
      </c>
      <c r="AB33" s="1353">
        <f t="shared" si="16"/>
        <v>1.0309278350515463</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t="s">
        <v>3449</v>
      </c>
      <c r="D36" s="386">
        <v>100</v>
      </c>
      <c r="E36" s="1906" t="s">
        <v>3449</v>
      </c>
      <c r="F36" s="412">
        <f>SUMIF(109:109,E36,110:110)-SUMIF(109:109,C36,110:110)+100</f>
        <v>100</v>
      </c>
      <c r="G36" s="1906" t="s">
        <v>3449</v>
      </c>
      <c r="H36" s="386">
        <f>SUMIF(109:109,G36,110:110)-SUMIF(109:109,C36,110:110)+100</f>
        <v>100</v>
      </c>
      <c r="I36" s="1906" t="s">
        <v>3449</v>
      </c>
      <c r="J36" s="386">
        <f>SUMIF(109:109,I36,110:110)-SUMIF(109:109,C36,110:110)+100</f>
        <v>100</v>
      </c>
      <c r="K36" s="377"/>
      <c r="L36" s="2720"/>
      <c r="M36" s="2714"/>
      <c r="N36" s="2714"/>
      <c r="O36" s="2714"/>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689"/>
      <c r="Q37" s="1343"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t="s">
        <v>3449</v>
      </c>
      <c r="D42" s="386">
        <v>100</v>
      </c>
      <c r="E42" s="1906" t="s">
        <v>3449</v>
      </c>
      <c r="F42" s="412">
        <f>SUMIF(122:122,E42,123:123)-SUMIF(122:122,C42,123:123)+100</f>
        <v>100</v>
      </c>
      <c r="G42" s="1906" t="s">
        <v>3449</v>
      </c>
      <c r="H42" s="386">
        <f>SUMIF(122:122,G42,123:123)-SUMIF(122:122,C42,123:123)+100</f>
        <v>100</v>
      </c>
      <c r="I42" s="1906" t="s">
        <v>3449</v>
      </c>
      <c r="J42" s="386">
        <f>SUMIF(122:122,I42,123:123)-SUMIF(122:122,C42,123:123)+100</f>
        <v>100</v>
      </c>
      <c r="K42" s="377">
        <v>2</v>
      </c>
      <c r="L42" s="2720"/>
      <c r="M42" s="2714"/>
      <c r="N42" s="2714"/>
      <c r="O42" s="2714"/>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377"/>
      <c r="L43" s="2720"/>
      <c r="M43" s="2714"/>
      <c r="N43" s="2714"/>
      <c r="O43" s="2714"/>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684" t="str">
        <f>A47</f>
        <v>成交单价（元/平方米）</v>
      </c>
      <c r="Q47" s="3684"/>
      <c r="R47" s="3685">
        <f>E47</f>
        <v>67319</v>
      </c>
      <c r="S47" s="3685"/>
      <c r="T47" s="3685">
        <f>G47</f>
        <v>67686</v>
      </c>
      <c r="U47" s="3685"/>
      <c r="V47" s="3685">
        <f>I47</f>
        <v>67319</v>
      </c>
      <c r="W47" s="3685"/>
      <c r="X47" s="690"/>
      <c r="Y47" s="712"/>
      <c r="Z47" s="690"/>
      <c r="AA47" s="690"/>
      <c r="AB47" s="690"/>
      <c r="AC47" s="690"/>
    </row>
    <row r="48" spans="1:29" ht="15.75" thickBot="1">
      <c r="A48" s="437" t="s">
        <v>1709</v>
      </c>
      <c r="B48" s="438"/>
      <c r="C48" s="1160">
        <f>R49</f>
        <v>68849</v>
      </c>
      <c r="D48" s="2315" t="s">
        <v>2138</v>
      </c>
      <c r="E48" s="1161">
        <f>R48</f>
        <v>68693</v>
      </c>
      <c r="F48" s="2316"/>
      <c r="G48" s="1160">
        <f>T48</f>
        <v>71203</v>
      </c>
      <c r="H48" s="2316"/>
      <c r="I48" s="1161">
        <f>V48</f>
        <v>66652</v>
      </c>
      <c r="J48" s="2316"/>
      <c r="K48" s="2317">
        <f>F48+H48+J48</f>
        <v>0</v>
      </c>
      <c r="L48" s="2722"/>
      <c r="M48" s="2723"/>
      <c r="N48" s="2723"/>
      <c r="O48" s="2723"/>
      <c r="P48" s="3684" t="str">
        <f>A48</f>
        <v>比较价值（元/平方米）</v>
      </c>
      <c r="Q48" s="3684"/>
      <c r="R48" s="3685">
        <f>IF(F1="售价",ROUND(PRODUCT(R47,AA7:AA46),0),ROUND(PRODUCT(R47,AA7:AA46),1))</f>
        <v>68693</v>
      </c>
      <c r="S48" s="3685"/>
      <c r="T48" s="3685">
        <f>IF(F1="售价",ROUND(PRODUCT(T47,AB7:AB46),0),ROUND(PRODUCT(T47,AB7:AB46),1))</f>
        <v>71203</v>
      </c>
      <c r="U48" s="3685"/>
      <c r="V48" s="3685">
        <f>IF(F1="售价",ROUND(PRODUCT(V47,AC7:AC46),0),ROUND(PRODUCT(V47,AC7:AC46),1))</f>
        <v>66652</v>
      </c>
      <c r="W48" s="3685"/>
      <c r="X48" s="690"/>
      <c r="Y48" s="690"/>
      <c r="Z48" s="690"/>
      <c r="AA48" s="690"/>
      <c r="AB48" s="690"/>
      <c r="AC48" s="690"/>
    </row>
    <row r="49" spans="1:29" ht="15.75" thickBot="1">
      <c r="A49" s="441" t="s">
        <v>1710</v>
      </c>
      <c r="B49" s="442"/>
      <c r="C49" s="1162">
        <f>R49</f>
        <v>68849</v>
      </c>
      <c r="D49" s="1163"/>
      <c r="E49" s="1163"/>
      <c r="F49" s="1163"/>
      <c r="G49" s="1163"/>
      <c r="H49" s="1163"/>
      <c r="I49" s="1163"/>
      <c r="J49" s="1163"/>
      <c r="K49" s="1913"/>
      <c r="L49" s="2722"/>
      <c r="M49" s="2723"/>
      <c r="N49" s="2723"/>
      <c r="O49" s="2723"/>
      <c r="P49" s="3681" t="str">
        <f>A49</f>
        <v>估价对象XX用房的比较价值（楼面单价，元/平方米）</v>
      </c>
      <c r="Q49" s="3682"/>
      <c r="R49" s="3683">
        <f>IF(F1="售价",ROUND(IF(D48="简单平均",AVERAGE(R48:V48),R48*F48+T48*H48+V48*J48),0),ROUND(IF(D48="简单平均",AVERAGE(R48:V48),R48*F48+T48*H48+V48*J48),1))</f>
        <v>68849</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5.1960523594243968E-2</v>
      </c>
      <c r="H52" s="449" t="str">
        <f>IF(OR(G52&gt;=0.3,G52&lt;=-0.3),"超过30%","")</f>
        <v/>
      </c>
      <c r="I52" s="448">
        <f>IF(I47&lt;I48,I48/I47-1,I47/I48-1)</f>
        <v>1.0007201584348646E-2</v>
      </c>
      <c r="J52" s="449" t="str">
        <f>IF(OR(I52&gt;=0.3,I52&lt;=-0.3),"超过30%","")</f>
        <v/>
      </c>
      <c r="K52" s="2728"/>
      <c r="L52" s="2724"/>
      <c r="M52" s="2723"/>
      <c r="N52" s="2723"/>
      <c r="O52" s="2723"/>
    </row>
    <row r="53" spans="1:29" ht="13.5" customHeight="1">
      <c r="A53" s="2723"/>
      <c r="B53" s="2723"/>
      <c r="C53" s="446" t="s">
        <v>1712</v>
      </c>
      <c r="D53" s="450"/>
      <c r="E53" s="448">
        <f>IF(E48&lt;G48,G48/E48-1,E48/G48-1)</f>
        <v>3.6539385381334277E-2</v>
      </c>
      <c r="F53" s="449" t="str">
        <f>IF(OR(E53&gt;=0.2,E53&lt;=-0.2),"超过20%","")</f>
        <v/>
      </c>
      <c r="G53" s="448">
        <f>IF(G48&lt;I48,I48/G48-1,G48/I48-1)</f>
        <v>6.8280021604752994E-2</v>
      </c>
      <c r="H53" s="449" t="str">
        <f>IF(OR(G53&gt;=0.2,G53&lt;=-0.2),"超过20%","")</f>
        <v/>
      </c>
      <c r="I53" s="448">
        <f>IF(I48&lt;E48,E48/I48-1,I48/E48-1)</f>
        <v>3.0621736782092013E-2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3443</v>
      </c>
      <c r="D88" s="3453" t="s">
        <v>3445</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3447</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50(含)-60</v>
      </c>
      <c r="E102" s="527" t="str">
        <f t="shared" si="26"/>
        <v>60(含)-70</v>
      </c>
      <c r="F102" s="527" t="str">
        <f t="shared" si="26"/>
        <v>70(含)-80</v>
      </c>
      <c r="G102" s="527" t="str">
        <f t="shared" si="26"/>
        <v>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60</v>
      </c>
      <c r="F103" s="544">
        <v>70</v>
      </c>
      <c r="G103" s="544">
        <v>80</v>
      </c>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1"/>
      <c r="Q104" s="508"/>
    </row>
    <row r="105" spans="1:17" ht="15" thickTop="1">
      <c r="A105" s="548"/>
      <c r="B105" s="487" t="s">
        <v>1738</v>
      </c>
      <c r="C105" s="3453" t="s">
        <v>3448</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3450</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3451</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3452</v>
      </c>
      <c r="D122" s="3453" t="s">
        <v>3450</v>
      </c>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4"/>
      <c r="Q22" s="1352"/>
      <c r="R22" s="705"/>
      <c r="S22" s="706"/>
      <c r="T22" s="705"/>
      <c r="U22" s="706"/>
      <c r="V22" s="705"/>
      <c r="W22" s="706"/>
      <c r="X22" s="1355"/>
      <c r="Y22" s="3687"/>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34" t="s">
        <v>1775</v>
      </c>
      <c r="Q4" s="3735"/>
      <c r="R4" s="3738" t="s">
        <v>1771</v>
      </c>
      <c r="S4" s="3739"/>
      <c r="T4" s="3738" t="s">
        <v>1772</v>
      </c>
      <c r="U4" s="3739"/>
      <c r="V4" s="3740" t="s">
        <v>1773</v>
      </c>
      <c r="W4" s="3740"/>
      <c r="X4" s="1956"/>
      <c r="Y4" s="3738" t="s">
        <v>1775</v>
      </c>
      <c r="Z4" s="3739"/>
      <c r="AA4" s="3742" t="s">
        <v>1771</v>
      </c>
      <c r="AB4" s="3742" t="s">
        <v>1772</v>
      </c>
      <c r="AC4" s="3731" t="s">
        <v>1773</v>
      </c>
    </row>
    <row r="5" spans="1:29" ht="15">
      <c r="A5" s="358"/>
      <c r="B5" s="359"/>
      <c r="C5" s="3718" t="s">
        <v>1673</v>
      </c>
      <c r="D5" s="3719"/>
      <c r="E5" s="3726" t="s">
        <v>1674</v>
      </c>
      <c r="F5" s="3727"/>
      <c r="G5" s="3718" t="s">
        <v>1675</v>
      </c>
      <c r="H5" s="3719"/>
      <c r="I5" s="3718" t="s">
        <v>1676</v>
      </c>
      <c r="J5" s="3719"/>
      <c r="K5" s="559"/>
      <c r="L5" s="2713"/>
      <c r="M5" s="2714"/>
      <c r="N5" s="2714"/>
      <c r="O5" s="2714"/>
      <c r="P5" s="3736"/>
      <c r="Q5" s="3706"/>
      <c r="R5" s="3711"/>
      <c r="S5" s="3712"/>
      <c r="T5" s="3711"/>
      <c r="U5" s="3712"/>
      <c r="V5" s="3715"/>
      <c r="W5" s="3715"/>
      <c r="X5" s="1355"/>
      <c r="Y5" s="3711"/>
      <c r="Z5" s="3712"/>
      <c r="AA5" s="3697"/>
      <c r="AB5" s="3697"/>
      <c r="AC5" s="3732"/>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37"/>
      <c r="Q6" s="3708"/>
      <c r="R6" s="3711"/>
      <c r="S6" s="3712"/>
      <c r="T6" s="3713"/>
      <c r="U6" s="3714"/>
      <c r="V6" s="3715"/>
      <c r="W6" s="3715"/>
      <c r="X6" s="1355"/>
      <c r="Y6" s="3713"/>
      <c r="Z6" s="3714"/>
      <c r="AA6" s="3698"/>
      <c r="AB6" s="3698"/>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1"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694"/>
      <c r="Q22" s="1352"/>
      <c r="R22" s="705"/>
      <c r="S22" s="706"/>
      <c r="T22" s="705"/>
      <c r="U22" s="706"/>
      <c r="V22" s="705"/>
      <c r="W22" s="706"/>
      <c r="X22" s="1355"/>
      <c r="Y22" s="3687"/>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694"/>
      <c r="Q26" s="1352"/>
      <c r="R26" s="705"/>
      <c r="S26" s="706"/>
      <c r="T26" s="705"/>
      <c r="U26" s="706"/>
      <c r="V26" s="705"/>
      <c r="W26" s="706"/>
      <c r="X26" s="1355"/>
      <c r="Y26" s="368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7"/>
      <c r="Q24" s="1352"/>
      <c r="R24" s="705"/>
      <c r="S24" s="706"/>
      <c r="T24" s="705"/>
      <c r="U24" s="706"/>
      <c r="V24" s="705"/>
      <c r="W24" s="706"/>
      <c r="X24" s="1355"/>
      <c r="Y24" s="3687"/>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99"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5"/>
      <c r="H56" s="368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9"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5"/>
      <c r="H51" s="368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316.33359999999999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582522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582522</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2947932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224511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5882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4490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10877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10664</v>
      </c>
      <c r="D42" s="238"/>
      <c r="E42" s="238"/>
      <c r="F42" s="239"/>
      <c r="G42" s="3652" t="s">
        <v>1591</v>
      </c>
    </row>
    <row r="43" spans="1:7" ht="13.5" customHeight="1">
      <c r="A43" s="780" t="s">
        <v>347</v>
      </c>
      <c r="B43" s="215" t="s">
        <v>1545</v>
      </c>
      <c r="C43" s="238">
        <f ca="1">ROUND(IF('数据-取费表'!B22&lt;=1,C39*F22*'数据-取费表'!B20/2,C39*(POWER((1+F22),'数据-取费表'!B20/2)-1)),0)</f>
        <v>213</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68700</v>
      </c>
      <c r="D45" s="235">
        <f ca="1">C47</f>
        <v>6.0000000000000001E-3</v>
      </c>
      <c r="E45" s="236" t="s">
        <v>1539</v>
      </c>
      <c r="F45" s="246">
        <f ca="1">F27</f>
        <v>0.3</v>
      </c>
      <c r="G45" s="247" t="s">
        <v>1548</v>
      </c>
    </row>
    <row r="46" spans="1:7" s="214" customFormat="1" ht="13.5" customHeight="1">
      <c r="A46" s="780" t="s">
        <v>346</v>
      </c>
      <c r="B46" s="248" t="s">
        <v>1549</v>
      </c>
      <c r="C46" s="249">
        <f ca="1">ROUND((C33+C39)*F27,0)</f>
        <v>68700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335520</v>
      </c>
      <c r="D49" s="232"/>
      <c r="E49" s="232"/>
      <c r="F49" s="264"/>
      <c r="G49" s="234" t="s">
        <v>1554</v>
      </c>
    </row>
    <row r="50" spans="1:7" s="258" customFormat="1">
      <c r="A50" s="255" t="s">
        <v>1555</v>
      </c>
      <c r="B50" s="210" t="s">
        <v>1556</v>
      </c>
      <c r="C50" s="232"/>
      <c r="D50" s="232"/>
      <c r="E50" s="232"/>
      <c r="F50" s="264">
        <f>IF('数据-取费表'!B24=0,'数据-取费表'!N16,1)</f>
        <v>0.64200000000000002</v>
      </c>
      <c r="G50" s="247"/>
    </row>
    <row r="51" spans="1:7" ht="16.5" customHeight="1">
      <c r="A51" s="255" t="s">
        <v>1558</v>
      </c>
      <c r="B51" s="210" t="s">
        <v>1593</v>
      </c>
      <c r="C51" s="232">
        <f ca="1">ROUND(C49*F50,0)</f>
        <v>215404</v>
      </c>
      <c r="D51" s="232"/>
      <c r="E51" s="232"/>
      <c r="F51" s="264"/>
      <c r="G51" s="234" t="s">
        <v>1560</v>
      </c>
    </row>
    <row r="52" spans="1:7" s="208" customFormat="1" ht="16.5" thickBot="1">
      <c r="A52" s="265" t="s">
        <v>1561</v>
      </c>
      <c r="B52" s="266"/>
      <c r="C52" s="267">
        <f ca="1">C31+C51</f>
        <v>3163336</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3438</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3453</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3454</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3440</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3440</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3455</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3440</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3440</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6" t="s">
        <v>2610</v>
      </c>
      <c r="B20" s="3781" t="s">
        <v>2631</v>
      </c>
      <c r="C20" s="3101" t="s">
        <v>2442</v>
      </c>
      <c r="D20" s="3102"/>
      <c r="E20" s="3103">
        <v>1</v>
      </c>
      <c r="F20" s="3104" t="s">
        <v>2443</v>
      </c>
      <c r="G20" s="3104"/>
    </row>
    <row r="21" spans="1:13" ht="19.5" customHeight="1">
      <c r="A21" s="3787"/>
      <c r="B21" s="3780"/>
      <c r="C21" s="3105" t="s">
        <v>2444</v>
      </c>
      <c r="D21" s="3106"/>
      <c r="E21" s="3107">
        <v>1</v>
      </c>
      <c r="F21" s="3104" t="s">
        <v>2445</v>
      </c>
      <c r="G21" s="3104"/>
    </row>
    <row r="22" spans="1:13" ht="19.5" customHeight="1">
      <c r="A22" s="3787"/>
      <c r="B22" s="3780"/>
      <c r="C22" s="3105" t="s">
        <v>2446</v>
      </c>
      <c r="D22" s="3106"/>
      <c r="E22" s="3107">
        <v>0.9</v>
      </c>
      <c r="F22" s="3104" t="s">
        <v>2447</v>
      </c>
      <c r="G22" s="3104"/>
    </row>
    <row r="23" spans="1:13" ht="19.5" customHeight="1">
      <c r="A23" s="3787"/>
      <c r="B23" s="3780"/>
      <c r="C23" s="3105" t="s">
        <v>2448</v>
      </c>
      <c r="D23" s="3106"/>
      <c r="E23" s="3107">
        <v>0.9</v>
      </c>
      <c r="F23" s="3104" t="s">
        <v>2449</v>
      </c>
      <c r="G23" s="3104"/>
    </row>
    <row r="24" spans="1:13" ht="19.5" customHeight="1">
      <c r="A24" s="3787"/>
      <c r="B24" s="3780"/>
      <c r="C24" s="3105" t="s">
        <v>2450</v>
      </c>
      <c r="D24" s="3106"/>
      <c r="E24" s="3107">
        <v>0.8</v>
      </c>
      <c r="F24" s="3104" t="s">
        <v>2451</v>
      </c>
      <c r="G24" s="3104"/>
    </row>
    <row r="25" spans="1:13" ht="19.5" customHeight="1" thickBot="1">
      <c r="A25" s="3788"/>
      <c r="B25" s="378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3" t="s">
        <v>2634</v>
      </c>
      <c r="B27" s="3781" t="s">
        <v>2615</v>
      </c>
      <c r="C27" s="3101" t="s">
        <v>2455</v>
      </c>
      <c r="D27" s="3102"/>
      <c r="E27" s="3103">
        <v>1</v>
      </c>
      <c r="F27" s="3104" t="s">
        <v>2456</v>
      </c>
      <c r="G27" s="3104"/>
    </row>
    <row r="28" spans="1:13" ht="19.5" customHeight="1">
      <c r="A28" s="3784"/>
      <c r="B28" s="3780"/>
      <c r="C28" s="3105" t="s">
        <v>2457</v>
      </c>
      <c r="D28" s="3106"/>
      <c r="E28" s="3107">
        <v>1</v>
      </c>
      <c r="F28" s="3104" t="s">
        <v>2458</v>
      </c>
      <c r="G28" s="3104"/>
    </row>
    <row r="29" spans="1:13" ht="19.5" customHeight="1">
      <c r="A29" s="3784"/>
      <c r="B29" s="3780"/>
      <c r="C29" s="3105" t="s">
        <v>2459</v>
      </c>
      <c r="D29" s="3106"/>
      <c r="E29" s="3107">
        <v>0.8</v>
      </c>
      <c r="F29" s="3104" t="s">
        <v>2460</v>
      </c>
      <c r="G29" s="3104"/>
    </row>
    <row r="30" spans="1:13" ht="19.5" customHeight="1">
      <c r="A30" s="3784"/>
      <c r="B30" s="3780"/>
      <c r="C30" s="3105" t="s">
        <v>2461</v>
      </c>
      <c r="D30" s="3106"/>
      <c r="E30" s="3107">
        <v>0.8</v>
      </c>
      <c r="F30" s="3104" t="s">
        <v>2462</v>
      </c>
      <c r="G30" s="3104"/>
    </row>
    <row r="31" spans="1:13" ht="19.5" customHeight="1">
      <c r="A31" s="3784"/>
      <c r="B31" s="3780"/>
      <c r="C31" s="3105" t="s">
        <v>2463</v>
      </c>
      <c r="D31" s="3106"/>
      <c r="E31" s="3107">
        <v>0.8</v>
      </c>
      <c r="F31" s="3104" t="s">
        <v>2464</v>
      </c>
      <c r="G31" s="3104"/>
    </row>
    <row r="32" spans="1:13" ht="19.5" customHeight="1">
      <c r="A32" s="3784"/>
      <c r="B32" s="3780"/>
      <c r="C32" s="3105" t="s">
        <v>2465</v>
      </c>
      <c r="D32" s="3106"/>
      <c r="E32" s="3107">
        <v>0.7</v>
      </c>
      <c r="F32" s="3104" t="s">
        <v>2466</v>
      </c>
      <c r="G32" s="3104"/>
    </row>
    <row r="33" spans="1:7" ht="19.5" customHeight="1">
      <c r="A33" s="3784"/>
      <c r="B33" s="3780"/>
      <c r="C33" s="3105" t="s">
        <v>2467</v>
      </c>
      <c r="D33" s="3106"/>
      <c r="E33" s="3107">
        <v>0.8</v>
      </c>
      <c r="F33" s="3104" t="s">
        <v>2468</v>
      </c>
      <c r="G33" s="3104"/>
    </row>
    <row r="34" spans="1:7" ht="19.5" customHeight="1">
      <c r="A34" s="3784"/>
      <c r="B34" s="3780"/>
      <c r="C34" s="3105" t="s">
        <v>2469</v>
      </c>
      <c r="D34" s="3106"/>
      <c r="E34" s="3107">
        <v>0.6</v>
      </c>
      <c r="F34" s="3104" t="s">
        <v>2470</v>
      </c>
      <c r="G34" s="3104"/>
    </row>
    <row r="35" spans="1:7" ht="19.5" customHeight="1">
      <c r="A35" s="3784"/>
      <c r="B35" s="3780"/>
      <c r="C35" s="3105" t="s">
        <v>2471</v>
      </c>
      <c r="D35" s="3106"/>
      <c r="E35" s="3107">
        <v>0.2</v>
      </c>
      <c r="F35" s="3104" t="s">
        <v>2472</v>
      </c>
      <c r="G35" s="3104"/>
    </row>
    <row r="36" spans="1:7" ht="19.5" customHeight="1">
      <c r="A36" s="3784"/>
      <c r="B36" s="3780"/>
      <c r="C36" s="3105" t="s">
        <v>2473</v>
      </c>
      <c r="D36" s="3106"/>
      <c r="E36" s="3107">
        <v>0.2</v>
      </c>
      <c r="F36" s="3104" t="s">
        <v>2474</v>
      </c>
      <c r="G36" s="3104"/>
    </row>
    <row r="37" spans="1:7" ht="19.5" customHeight="1">
      <c r="A37" s="3784"/>
      <c r="B37" s="3778" t="s">
        <v>2635</v>
      </c>
      <c r="C37" s="3105" t="s">
        <v>2475</v>
      </c>
      <c r="D37" s="3106"/>
      <c r="E37" s="3107">
        <v>0.6</v>
      </c>
      <c r="F37" s="3104" t="s">
        <v>2476</v>
      </c>
      <c r="G37" s="3104"/>
    </row>
    <row r="38" spans="1:7" ht="19.5" customHeight="1">
      <c r="A38" s="3784"/>
      <c r="B38" s="3780"/>
      <c r="C38" s="3105" t="s">
        <v>2477</v>
      </c>
      <c r="D38" s="3106"/>
      <c r="E38" s="3107">
        <v>0.6</v>
      </c>
      <c r="F38" s="3104" t="s">
        <v>2478</v>
      </c>
      <c r="G38" s="3104"/>
    </row>
    <row r="39" spans="1:7" ht="19.5" customHeight="1" thickBot="1">
      <c r="A39" s="3785"/>
      <c r="B39" s="378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6" t="s">
        <v>2613</v>
      </c>
      <c r="B41" s="3781" t="s">
        <v>2637</v>
      </c>
      <c r="C41" s="3101" t="s">
        <v>2482</v>
      </c>
      <c r="D41" s="3102"/>
      <c r="E41" s="3103">
        <v>1</v>
      </c>
      <c r="F41" s="3104" t="s">
        <v>2483</v>
      </c>
      <c r="G41" s="3104"/>
    </row>
    <row r="42" spans="1:7" ht="19.5" customHeight="1">
      <c r="A42" s="3787"/>
      <c r="B42" s="3780"/>
      <c r="C42" s="3105" t="s">
        <v>2484</v>
      </c>
      <c r="D42" s="3106"/>
      <c r="E42" s="3107">
        <v>1</v>
      </c>
      <c r="F42" s="3104" t="s">
        <v>2485</v>
      </c>
      <c r="G42" s="3104"/>
    </row>
    <row r="43" spans="1:7" ht="19.5" customHeight="1">
      <c r="A43" s="3787"/>
      <c r="B43" s="3779"/>
      <c r="C43" s="3105" t="s">
        <v>2486</v>
      </c>
      <c r="D43" s="3106"/>
      <c r="E43" s="3107">
        <v>1.5</v>
      </c>
      <c r="F43" s="3104" t="s">
        <v>2487</v>
      </c>
      <c r="G43" s="3104"/>
    </row>
    <row r="44" spans="1:7" ht="19.5" customHeight="1">
      <c r="A44" s="3787"/>
      <c r="B44" s="3116" t="s">
        <v>2638</v>
      </c>
      <c r="C44" s="3105" t="s">
        <v>2639</v>
      </c>
      <c r="D44" s="3106"/>
      <c r="E44" s="3107">
        <v>2</v>
      </c>
      <c r="F44" s="3104" t="s">
        <v>2488</v>
      </c>
      <c r="G44" s="3104"/>
    </row>
    <row r="45" spans="1:7" ht="19.5" customHeight="1">
      <c r="A45" s="3787"/>
      <c r="B45" s="3778" t="s">
        <v>2640</v>
      </c>
      <c r="C45" s="3105" t="s">
        <v>2489</v>
      </c>
      <c r="D45" s="3106"/>
      <c r="E45" s="3107">
        <v>1</v>
      </c>
      <c r="F45" s="3104" t="s">
        <v>2490</v>
      </c>
      <c r="G45" s="3104"/>
    </row>
    <row r="46" spans="1:7" ht="19.5" customHeight="1">
      <c r="A46" s="3787"/>
      <c r="B46" s="3780"/>
      <c r="C46" s="3105" t="s">
        <v>2491</v>
      </c>
      <c r="D46" s="3106"/>
      <c r="E46" s="3107">
        <v>1</v>
      </c>
      <c r="F46" s="3104" t="s">
        <v>2492</v>
      </c>
      <c r="G46" s="3104"/>
    </row>
    <row r="47" spans="1:7" ht="19.5" customHeight="1">
      <c r="A47" s="3787"/>
      <c r="B47" s="3780"/>
      <c r="C47" s="3105" t="s">
        <v>2493</v>
      </c>
      <c r="D47" s="3106"/>
      <c r="E47" s="3107">
        <v>1</v>
      </c>
      <c r="F47" s="3104" t="s">
        <v>2494</v>
      </c>
      <c r="G47" s="3104"/>
    </row>
    <row r="48" spans="1:7" ht="19.5" customHeight="1">
      <c r="A48" s="3787"/>
      <c r="B48" s="3780"/>
      <c r="C48" s="3105" t="s">
        <v>2495</v>
      </c>
      <c r="D48" s="3106"/>
      <c r="E48" s="3107">
        <v>1</v>
      </c>
      <c r="F48" s="3104" t="s">
        <v>2496</v>
      </c>
      <c r="G48" s="3104"/>
    </row>
    <row r="49" spans="1:7" ht="19.5" customHeight="1">
      <c r="A49" s="3787"/>
      <c r="B49" s="3780"/>
      <c r="C49" s="3105" t="s">
        <v>2497</v>
      </c>
      <c r="D49" s="3106"/>
      <c r="E49" s="3107">
        <v>1</v>
      </c>
      <c r="F49" s="3104" t="s">
        <v>2498</v>
      </c>
      <c r="G49" s="3104"/>
    </row>
    <row r="50" spans="1:7" ht="19.5" customHeight="1">
      <c r="A50" s="3787"/>
      <c r="B50" s="3780"/>
      <c r="C50" s="3105" t="s">
        <v>2499</v>
      </c>
      <c r="D50" s="3106"/>
      <c r="E50" s="3107">
        <v>1</v>
      </c>
      <c r="F50" s="3104" t="s">
        <v>2500</v>
      </c>
      <c r="G50" s="3104"/>
    </row>
    <row r="51" spans="1:7" ht="19.5" customHeight="1" thickBot="1">
      <c r="A51" s="3788"/>
      <c r="B51" s="378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8" t="s">
        <v>2654</v>
      </c>
      <c r="C73" s="3090" t="s">
        <v>2655</v>
      </c>
      <c r="D73" s="3090" t="s">
        <v>2656</v>
      </c>
      <c r="E73" s="3116">
        <v>0.2</v>
      </c>
      <c r="F73" s="3116">
        <v>25</v>
      </c>
    </row>
    <row r="74" spans="1:7" ht="24">
      <c r="A74" s="3116">
        <v>2</v>
      </c>
      <c r="B74" s="3780"/>
      <c r="C74" s="3090" t="s">
        <v>2657</v>
      </c>
      <c r="D74" s="3090" t="s">
        <v>2658</v>
      </c>
      <c r="E74" s="3116">
        <v>0.2</v>
      </c>
      <c r="F74" s="3116">
        <v>25</v>
      </c>
    </row>
    <row r="75" spans="1:7" ht="24">
      <c r="A75" s="3116">
        <v>3</v>
      </c>
      <c r="B75" s="3780"/>
      <c r="C75" s="3090" t="s">
        <v>2659</v>
      </c>
      <c r="D75" s="3090" t="s">
        <v>2660</v>
      </c>
      <c r="E75" s="3116">
        <v>0.2</v>
      </c>
      <c r="F75" s="3116">
        <v>25</v>
      </c>
    </row>
    <row r="76" spans="1:7" ht="13.5">
      <c r="A76" s="3116">
        <v>4</v>
      </c>
      <c r="B76" s="3780"/>
      <c r="C76" s="3090" t="s">
        <v>2661</v>
      </c>
      <c r="D76" s="3090" t="s">
        <v>2662</v>
      </c>
      <c r="E76" s="3116">
        <v>0.15</v>
      </c>
      <c r="F76" s="3116">
        <v>20</v>
      </c>
    </row>
    <row r="77" spans="1:7" ht="24">
      <c r="A77" s="3116">
        <v>5</v>
      </c>
      <c r="B77" s="3780"/>
      <c r="C77" s="3090" t="s">
        <v>2663</v>
      </c>
      <c r="D77" s="3090" t="s">
        <v>2664</v>
      </c>
      <c r="E77" s="3116">
        <v>0.15</v>
      </c>
      <c r="F77" s="3116">
        <v>20</v>
      </c>
    </row>
    <row r="78" spans="1:7" ht="24">
      <c r="A78" s="3116">
        <v>6</v>
      </c>
      <c r="B78" s="3780"/>
      <c r="C78" s="3090" t="s">
        <v>2665</v>
      </c>
      <c r="D78" s="3090" t="s">
        <v>2666</v>
      </c>
      <c r="E78" s="3116">
        <v>0.15</v>
      </c>
      <c r="F78" s="3116">
        <v>20</v>
      </c>
    </row>
    <row r="79" spans="1:7" ht="24">
      <c r="A79" s="3116">
        <v>7</v>
      </c>
      <c r="B79" s="3780"/>
      <c r="C79" s="3090" t="s">
        <v>2667</v>
      </c>
      <c r="D79" s="3090" t="s">
        <v>2668</v>
      </c>
      <c r="E79" s="3116">
        <v>0.15</v>
      </c>
      <c r="F79" s="3116">
        <v>20</v>
      </c>
    </row>
    <row r="80" spans="1:7" ht="24">
      <c r="A80" s="3116">
        <v>8</v>
      </c>
      <c r="B80" s="3780"/>
      <c r="C80" s="3090" t="s">
        <v>2669</v>
      </c>
      <c r="D80" s="3090" t="s">
        <v>2670</v>
      </c>
      <c r="E80" s="3116">
        <v>0.1</v>
      </c>
      <c r="F80" s="3116">
        <v>15</v>
      </c>
    </row>
    <row r="81" spans="1:6" ht="24">
      <c r="A81" s="3116">
        <v>9</v>
      </c>
      <c r="B81" s="3780"/>
      <c r="C81" s="3090" t="s">
        <v>2671</v>
      </c>
      <c r="D81" s="3090" t="s">
        <v>2672</v>
      </c>
      <c r="E81" s="3116">
        <v>0.1</v>
      </c>
      <c r="F81" s="3116">
        <v>15</v>
      </c>
    </row>
    <row r="82" spans="1:6" ht="24">
      <c r="A82" s="3116">
        <v>10</v>
      </c>
      <c r="B82" s="3780"/>
      <c r="C82" s="3090" t="s">
        <v>2673</v>
      </c>
      <c r="D82" s="3090" t="s">
        <v>2674</v>
      </c>
      <c r="E82" s="3116">
        <v>0.1</v>
      </c>
      <c r="F82" s="3116">
        <v>15</v>
      </c>
    </row>
    <row r="83" spans="1:6" ht="24">
      <c r="A83" s="3116">
        <v>11</v>
      </c>
      <c r="B83" s="3780"/>
      <c r="C83" s="3090" t="s">
        <v>2675</v>
      </c>
      <c r="D83" s="3090" t="s">
        <v>2676</v>
      </c>
      <c r="E83" s="3116">
        <v>0.1</v>
      </c>
      <c r="F83" s="3116">
        <v>15</v>
      </c>
    </row>
    <row r="84" spans="1:6" ht="24">
      <c r="A84" s="3116">
        <v>12</v>
      </c>
      <c r="B84" s="3780"/>
      <c r="C84" s="3090" t="s">
        <v>2677</v>
      </c>
      <c r="D84" s="3090" t="s">
        <v>2678</v>
      </c>
      <c r="E84" s="3116">
        <v>0.1</v>
      </c>
      <c r="F84" s="3116">
        <v>15</v>
      </c>
    </row>
    <row r="85" spans="1:6" ht="13.5">
      <c r="A85" s="3116">
        <v>13</v>
      </c>
      <c r="B85" s="3780"/>
      <c r="C85" s="3090" t="s">
        <v>2679</v>
      </c>
      <c r="D85" s="3090" t="s">
        <v>2680</v>
      </c>
      <c r="E85" s="3116">
        <v>0.1</v>
      </c>
      <c r="F85" s="3116">
        <v>15</v>
      </c>
    </row>
    <row r="86" spans="1:6" ht="13.5">
      <c r="A86" s="3116">
        <v>14</v>
      </c>
      <c r="B86" s="3780"/>
      <c r="C86" s="3090" t="s">
        <v>2681</v>
      </c>
      <c r="D86" s="3090" t="s">
        <v>2682</v>
      </c>
      <c r="E86" s="3116">
        <v>0.1</v>
      </c>
      <c r="F86" s="3116">
        <v>15</v>
      </c>
    </row>
    <row r="87" spans="1:6" ht="13.5">
      <c r="A87" s="3116">
        <v>15</v>
      </c>
      <c r="B87" s="3780"/>
      <c r="C87" s="3090" t="s">
        <v>2683</v>
      </c>
      <c r="D87" s="3090" t="s">
        <v>2684</v>
      </c>
      <c r="E87" s="3116">
        <v>0.1</v>
      </c>
      <c r="F87" s="3116">
        <v>15</v>
      </c>
    </row>
    <row r="88" spans="1:6" ht="24">
      <c r="A88" s="3116">
        <v>16</v>
      </c>
      <c r="B88" s="378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8" t="s">
        <v>2689</v>
      </c>
      <c r="C90" s="3090" t="s">
        <v>2690</v>
      </c>
      <c r="D90" s="3090" t="s">
        <v>2691</v>
      </c>
      <c r="E90" s="3116">
        <v>0.2</v>
      </c>
      <c r="F90" s="3116">
        <v>25</v>
      </c>
    </row>
    <row r="91" spans="1:6" ht="24">
      <c r="A91" s="3116">
        <v>19</v>
      </c>
      <c r="B91" s="3780"/>
      <c r="C91" s="3090" t="s">
        <v>2692</v>
      </c>
      <c r="D91" s="3090" t="s">
        <v>2693</v>
      </c>
      <c r="E91" s="3116">
        <v>0.2</v>
      </c>
      <c r="F91" s="3116">
        <v>25</v>
      </c>
    </row>
    <row r="92" spans="1:6" ht="13.5">
      <c r="A92" s="3116">
        <v>20</v>
      </c>
      <c r="B92" s="3780"/>
      <c r="C92" s="3090" t="s">
        <v>2694</v>
      </c>
      <c r="D92" s="3090" t="s">
        <v>2695</v>
      </c>
      <c r="E92" s="3116">
        <v>0.15</v>
      </c>
      <c r="F92" s="3116">
        <v>20</v>
      </c>
    </row>
    <row r="93" spans="1:6" ht="13.5">
      <c r="A93" s="3116">
        <v>21</v>
      </c>
      <c r="B93" s="3780"/>
      <c r="C93" s="3090" t="s">
        <v>2696</v>
      </c>
      <c r="D93" s="3090" t="s">
        <v>2697</v>
      </c>
      <c r="E93" s="3116">
        <v>0.15</v>
      </c>
      <c r="F93" s="3116">
        <v>20</v>
      </c>
    </row>
    <row r="94" spans="1:6" ht="13.5">
      <c r="A94" s="3116">
        <v>22</v>
      </c>
      <c r="B94" s="3780"/>
      <c r="C94" s="3090" t="s">
        <v>2698</v>
      </c>
      <c r="D94" s="3090" t="s">
        <v>2699</v>
      </c>
      <c r="E94" s="3116">
        <v>0.15</v>
      </c>
      <c r="F94" s="3116">
        <v>20</v>
      </c>
    </row>
    <row r="95" spans="1:6" ht="36">
      <c r="A95" s="3116">
        <v>23</v>
      </c>
      <c r="B95" s="3780"/>
      <c r="C95" s="3090" t="s">
        <v>2700</v>
      </c>
      <c r="D95" s="3090" t="s">
        <v>2701</v>
      </c>
      <c r="E95" s="3116">
        <v>0.15</v>
      </c>
      <c r="F95" s="3116">
        <v>20</v>
      </c>
    </row>
    <row r="96" spans="1:6" ht="13.5">
      <c r="A96" s="3116">
        <v>24</v>
      </c>
      <c r="B96" s="3780"/>
      <c r="C96" s="3090" t="s">
        <v>2702</v>
      </c>
      <c r="D96" s="3090" t="s">
        <v>2703</v>
      </c>
      <c r="E96" s="3116">
        <v>0.1</v>
      </c>
      <c r="F96" s="3116">
        <v>15</v>
      </c>
    </row>
    <row r="97" spans="1:6" ht="13.5">
      <c r="A97" s="3116">
        <v>25</v>
      </c>
      <c r="B97" s="3780"/>
      <c r="C97" s="3090" t="s">
        <v>2704</v>
      </c>
      <c r="D97" s="3090" t="s">
        <v>2705</v>
      </c>
      <c r="E97" s="3116">
        <v>0.1</v>
      </c>
      <c r="F97" s="3116">
        <v>15</v>
      </c>
    </row>
    <row r="98" spans="1:6" ht="24">
      <c r="A98" s="3116">
        <v>26</v>
      </c>
      <c r="B98" s="3780"/>
      <c r="C98" s="3090" t="s">
        <v>2706</v>
      </c>
      <c r="D98" s="3090" t="s">
        <v>2707</v>
      </c>
      <c r="E98" s="3116">
        <v>0.1</v>
      </c>
      <c r="F98" s="3116">
        <v>15</v>
      </c>
    </row>
    <row r="99" spans="1:6" ht="24">
      <c r="A99" s="3116">
        <v>27</v>
      </c>
      <c r="B99" s="3780"/>
      <c r="C99" s="3090" t="s">
        <v>2708</v>
      </c>
      <c r="D99" s="3090" t="s">
        <v>2709</v>
      </c>
      <c r="E99" s="3116">
        <v>0.1</v>
      </c>
      <c r="F99" s="3116">
        <v>15</v>
      </c>
    </row>
    <row r="100" spans="1:6" ht="13.5">
      <c r="A100" s="3116">
        <v>28</v>
      </c>
      <c r="B100" s="3780"/>
      <c r="C100" s="3090" t="s">
        <v>2710</v>
      </c>
      <c r="D100" s="3090" t="s">
        <v>2711</v>
      </c>
      <c r="E100" s="3116">
        <v>0.1</v>
      </c>
      <c r="F100" s="3116">
        <v>15</v>
      </c>
    </row>
    <row r="101" spans="1:6" ht="13.5">
      <c r="A101" s="3116">
        <v>29</v>
      </c>
      <c r="B101" s="3780"/>
      <c r="C101" s="3090" t="s">
        <v>2712</v>
      </c>
      <c r="D101" s="3090" t="s">
        <v>2713</v>
      </c>
      <c r="E101" s="3116">
        <v>0.1</v>
      </c>
      <c r="F101" s="3116">
        <v>15</v>
      </c>
    </row>
    <row r="102" spans="1:6" ht="13.5">
      <c r="A102" s="3116">
        <v>30</v>
      </c>
      <c r="B102" s="3780"/>
      <c r="C102" s="3090" t="s">
        <v>2714</v>
      </c>
      <c r="D102" s="3090" t="s">
        <v>2715</v>
      </c>
      <c r="E102" s="3116">
        <v>0.1</v>
      </c>
      <c r="F102" s="3116">
        <v>15</v>
      </c>
    </row>
    <row r="103" spans="1:6" ht="24">
      <c r="A103" s="3116">
        <v>31</v>
      </c>
      <c r="B103" s="3780"/>
      <c r="C103" s="3090" t="s">
        <v>2716</v>
      </c>
      <c r="D103" s="3090" t="s">
        <v>2717</v>
      </c>
      <c r="E103" s="3116">
        <v>0.1</v>
      </c>
      <c r="F103" s="3116">
        <v>15</v>
      </c>
    </row>
    <row r="104" spans="1:6" ht="24">
      <c r="A104" s="3116">
        <v>32</v>
      </c>
      <c r="B104" s="3780"/>
      <c r="C104" s="3090" t="s">
        <v>2718</v>
      </c>
      <c r="D104" s="3090" t="s">
        <v>2719</v>
      </c>
      <c r="E104" s="3116">
        <v>0.1</v>
      </c>
      <c r="F104" s="3116">
        <v>15</v>
      </c>
    </row>
    <row r="105" spans="1:6" ht="24">
      <c r="A105" s="3116">
        <v>33</v>
      </c>
      <c r="B105" s="378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8" t="s">
        <v>2724</v>
      </c>
      <c r="C107" s="3116" t="s">
        <v>2725</v>
      </c>
      <c r="D107" s="3090" t="s">
        <v>2726</v>
      </c>
      <c r="E107" s="3116">
        <v>0.15</v>
      </c>
      <c r="F107" s="3116">
        <v>20</v>
      </c>
    </row>
    <row r="108" spans="1:6" ht="13.5">
      <c r="A108" s="3116">
        <v>36</v>
      </c>
      <c r="B108" s="3780"/>
      <c r="C108" s="3116" t="s">
        <v>2727</v>
      </c>
      <c r="D108" s="3090" t="s">
        <v>2728</v>
      </c>
      <c r="E108" s="3116">
        <v>0.15</v>
      </c>
      <c r="F108" s="3116">
        <v>20</v>
      </c>
    </row>
    <row r="109" spans="1:6" ht="13.5">
      <c r="A109" s="3116">
        <v>37</v>
      </c>
      <c r="B109" s="3780"/>
      <c r="C109" s="3116" t="s">
        <v>2729</v>
      </c>
      <c r="D109" s="3090" t="s">
        <v>2730</v>
      </c>
      <c r="E109" s="3116">
        <v>0.15</v>
      </c>
      <c r="F109" s="3116">
        <v>20</v>
      </c>
    </row>
    <row r="110" spans="1:6" ht="13.5">
      <c r="A110" s="3116">
        <v>38</v>
      </c>
      <c r="B110" s="3780"/>
      <c r="C110" s="3116" t="s">
        <v>2731</v>
      </c>
      <c r="D110" s="3090" t="s">
        <v>2732</v>
      </c>
      <c r="E110" s="3116">
        <v>0.1</v>
      </c>
      <c r="F110" s="3116">
        <v>15</v>
      </c>
    </row>
    <row r="111" spans="1:6" ht="24">
      <c r="A111" s="3116">
        <v>39</v>
      </c>
      <c r="B111" s="378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8"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8"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8"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8"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31940</v>
      </c>
      <c r="C2" s="2" t="s">
        <v>106</v>
      </c>
      <c r="D2" s="199"/>
      <c r="E2" s="199"/>
      <c r="F2" s="199"/>
      <c r="G2" s="199"/>
    </row>
    <row r="3" spans="1:7" s="200" customFormat="1" ht="18" customHeight="1" thickBot="1">
      <c r="A3" s="203" t="s">
        <v>58</v>
      </c>
      <c r="B3" s="204">
        <f ca="1">ROUND(B2*10000/'数据-汇总表'!E3,0)</f>
        <v>6515708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6307</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6307</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7</v>
      </c>
      <c r="D45" s="235">
        <f>C47</f>
        <v>6.0000000000000001E-3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0.64200000000000002</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31940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94" t="s">
        <v>3237</v>
      </c>
      <c r="B1" s="3794"/>
      <c r="C1" s="3794"/>
      <c r="D1" s="3794"/>
      <c r="E1" s="3794"/>
      <c r="F1" s="379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2:N25"/>
  <sheetViews>
    <sheetView topLeftCell="A26" workbookViewId="0">
      <selection activeCell="J5" sqref="J5"/>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3435</v>
      </c>
      <c r="B3" s="3459" t="s">
        <v>3391</v>
      </c>
      <c r="C3" s="3459" t="s">
        <v>3395</v>
      </c>
      <c r="D3" s="3459">
        <v>49.02</v>
      </c>
      <c r="E3" s="3459" t="s">
        <v>3393</v>
      </c>
      <c r="F3" s="3459">
        <v>18</v>
      </c>
      <c r="G3" s="3459">
        <v>7</v>
      </c>
      <c r="H3" s="3459" t="s">
        <v>3436</v>
      </c>
      <c r="I3" s="3460">
        <v>1998</v>
      </c>
      <c r="J3" s="3459">
        <v>67319</v>
      </c>
      <c r="K3" s="3459">
        <v>64046</v>
      </c>
      <c r="L3" s="3459">
        <v>3139535</v>
      </c>
      <c r="M3" s="3461">
        <v>45053</v>
      </c>
      <c r="N3" s="3462"/>
    </row>
    <row r="4" spans="1:14" ht="40.5">
      <c r="A4" s="3459" t="s">
        <v>3437</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67" r:id="rId4" name="Control 27">
          <controlPr defaultSize="0" r:id="rId5">
            <anchor moveWithCells="1">
              <from>
                <xdr:col>0</xdr:col>
                <xdr:colOff>0</xdr:colOff>
                <xdr:row>17</xdr:row>
                <xdr:rowOff>0</xdr:rowOff>
              </from>
              <to>
                <xdr:col>0</xdr:col>
                <xdr:colOff>257175</xdr:colOff>
                <xdr:row>17</xdr:row>
                <xdr:rowOff>238125</xdr:rowOff>
              </to>
            </anchor>
          </controlPr>
        </control>
      </mc:Choice>
      <mc:Fallback>
        <control shapeId="112667" r:id="rId4" name="Control 27"/>
      </mc:Fallback>
    </mc:AlternateContent>
    <mc:AlternateContent xmlns:mc="http://schemas.openxmlformats.org/markup-compatibility/2006">
      <mc:Choice Requires="x14">
        <control shapeId="112666" r:id="rId6" name="Control 26">
          <controlPr defaultSize="0" r:id="rId5">
            <anchor moveWithCells="1">
              <from>
                <xdr:col>0</xdr:col>
                <xdr:colOff>0</xdr:colOff>
                <xdr:row>16</xdr:row>
                <xdr:rowOff>0</xdr:rowOff>
              </from>
              <to>
                <xdr:col>0</xdr:col>
                <xdr:colOff>257175</xdr:colOff>
                <xdr:row>16</xdr:row>
                <xdr:rowOff>238125</xdr:rowOff>
              </to>
            </anchor>
          </controlPr>
        </control>
      </mc:Choice>
      <mc:Fallback>
        <control shapeId="112666" r:id="rId6" name="Control 26"/>
      </mc:Fallback>
    </mc:AlternateContent>
    <mc:AlternateContent xmlns:mc="http://schemas.openxmlformats.org/markup-compatibility/2006">
      <mc:Choice Requires="x14">
        <control shapeId="112665" r:id="rId7" name="Control 25">
          <controlPr defaultSize="0" r:id="rId5">
            <anchor moveWithCells="1">
              <from>
                <xdr:col>0</xdr:col>
                <xdr:colOff>0</xdr:colOff>
                <xdr:row>15</xdr:row>
                <xdr:rowOff>0</xdr:rowOff>
              </from>
              <to>
                <xdr:col>0</xdr:col>
                <xdr:colOff>257175</xdr:colOff>
                <xdr:row>15</xdr:row>
                <xdr:rowOff>238125</xdr:rowOff>
              </to>
            </anchor>
          </controlPr>
        </control>
      </mc:Choice>
      <mc:Fallback>
        <control shapeId="112665" r:id="rId7" name="Control 25"/>
      </mc:Fallback>
    </mc:AlternateContent>
    <mc:AlternateContent xmlns:mc="http://schemas.openxmlformats.org/markup-compatibility/2006">
      <mc:Choice Requires="x14">
        <control shapeId="112664" r:id="rId8" name="Control 24">
          <controlPr defaultSize="0" r:id="rId5">
            <anchor moveWithCells="1">
              <from>
                <xdr:col>0</xdr:col>
                <xdr:colOff>0</xdr:colOff>
                <xdr:row>14</xdr:row>
                <xdr:rowOff>0</xdr:rowOff>
              </from>
              <to>
                <xdr:col>0</xdr:col>
                <xdr:colOff>257175</xdr:colOff>
                <xdr:row>14</xdr:row>
                <xdr:rowOff>238125</xdr:rowOff>
              </to>
            </anchor>
          </controlPr>
        </control>
      </mc:Choice>
      <mc:Fallback>
        <control shapeId="112664" r:id="rId8" name="Control 24"/>
      </mc:Fallback>
    </mc:AlternateContent>
    <mc:AlternateContent xmlns:mc="http://schemas.openxmlformats.org/markup-compatibility/2006">
      <mc:Choice Requires="x14">
        <control shapeId="112663" r:id="rId9" name="Control 23">
          <controlPr defaultSize="0" r:id="rId5">
            <anchor moveWithCells="1">
              <from>
                <xdr:col>0</xdr:col>
                <xdr:colOff>0</xdr:colOff>
                <xdr:row>13</xdr:row>
                <xdr:rowOff>0</xdr:rowOff>
              </from>
              <to>
                <xdr:col>0</xdr:col>
                <xdr:colOff>257175</xdr:colOff>
                <xdr:row>13</xdr:row>
                <xdr:rowOff>238125</xdr:rowOff>
              </to>
            </anchor>
          </controlPr>
        </control>
      </mc:Choice>
      <mc:Fallback>
        <control shapeId="112663" r:id="rId9" name="Control 23"/>
      </mc:Fallback>
    </mc:AlternateContent>
    <mc:AlternateContent xmlns:mc="http://schemas.openxmlformats.org/markup-compatibility/2006">
      <mc:Choice Requires="x14">
        <control shapeId="112662" r:id="rId10" name="Control 22">
          <controlPr defaultSize="0" r:id="rId5">
            <anchor moveWithCells="1">
              <from>
                <xdr:col>0</xdr:col>
                <xdr:colOff>0</xdr:colOff>
                <xdr:row>12</xdr:row>
                <xdr:rowOff>0</xdr:rowOff>
              </from>
              <to>
                <xdr:col>0</xdr:col>
                <xdr:colOff>257175</xdr:colOff>
                <xdr:row>12</xdr:row>
                <xdr:rowOff>238125</xdr:rowOff>
              </to>
            </anchor>
          </controlPr>
        </control>
      </mc:Choice>
      <mc:Fallback>
        <control shapeId="112662" r:id="rId10" name="Control 22"/>
      </mc:Fallback>
    </mc:AlternateContent>
    <mc:AlternateContent xmlns:mc="http://schemas.openxmlformats.org/markup-compatibility/2006">
      <mc:Choice Requires="x14">
        <control shapeId="112661" r:id="rId11" name="Control 21">
          <controlPr defaultSize="0" r:id="rId5">
            <anchor moveWithCells="1">
              <from>
                <xdr:col>0</xdr:col>
                <xdr:colOff>0</xdr:colOff>
                <xdr:row>11</xdr:row>
                <xdr:rowOff>0</xdr:rowOff>
              </from>
              <to>
                <xdr:col>0</xdr:col>
                <xdr:colOff>257175</xdr:colOff>
                <xdr:row>11</xdr:row>
                <xdr:rowOff>238125</xdr:rowOff>
              </to>
            </anchor>
          </controlPr>
        </control>
      </mc:Choice>
      <mc:Fallback>
        <control shapeId="112661" r:id="rId11" name="Control 21"/>
      </mc:Fallback>
    </mc:AlternateContent>
    <mc:AlternateContent xmlns:mc="http://schemas.openxmlformats.org/markup-compatibility/2006">
      <mc:Choice Requires="x14">
        <control shapeId="112660" r:id="rId12" name="Control 20">
          <controlPr defaultSize="0" r:id="rId5">
            <anchor moveWithCells="1">
              <from>
                <xdr:col>0</xdr:col>
                <xdr:colOff>0</xdr:colOff>
                <xdr:row>10</xdr:row>
                <xdr:rowOff>0</xdr:rowOff>
              </from>
              <to>
                <xdr:col>0</xdr:col>
                <xdr:colOff>257175</xdr:colOff>
                <xdr:row>10</xdr:row>
                <xdr:rowOff>238125</xdr:rowOff>
              </to>
            </anchor>
          </controlPr>
        </control>
      </mc:Choice>
      <mc:Fallback>
        <control shapeId="112660" r:id="rId12" name="Control 20"/>
      </mc:Fallback>
    </mc:AlternateContent>
    <mc:AlternateContent xmlns:mc="http://schemas.openxmlformats.org/markup-compatibility/2006">
      <mc:Choice Requires="x14">
        <control shapeId="112659" r:id="rId13" name="Control 19">
          <controlPr defaultSize="0" r:id="rId5">
            <anchor moveWithCells="1">
              <from>
                <xdr:col>0</xdr:col>
                <xdr:colOff>0</xdr:colOff>
                <xdr:row>9</xdr:row>
                <xdr:rowOff>0</xdr:rowOff>
              </from>
              <to>
                <xdr:col>0</xdr:col>
                <xdr:colOff>257175</xdr:colOff>
                <xdr:row>9</xdr:row>
                <xdr:rowOff>238125</xdr:rowOff>
              </to>
            </anchor>
          </controlPr>
        </control>
      </mc:Choice>
      <mc:Fallback>
        <control shapeId="112659" r:id="rId13" name="Control 19"/>
      </mc:Fallback>
    </mc:AlternateContent>
    <mc:AlternateContent xmlns:mc="http://schemas.openxmlformats.org/markup-compatibility/2006">
      <mc:Choice Requires="x14">
        <control shapeId="112658" r:id="rId14" name="Control 18">
          <controlPr defaultSize="0" r:id="rId5">
            <anchor moveWithCells="1">
              <from>
                <xdr:col>0</xdr:col>
                <xdr:colOff>0</xdr:colOff>
                <xdr:row>8</xdr:row>
                <xdr:rowOff>0</xdr:rowOff>
              </from>
              <to>
                <xdr:col>0</xdr:col>
                <xdr:colOff>257175</xdr:colOff>
                <xdr:row>8</xdr:row>
                <xdr:rowOff>238125</xdr:rowOff>
              </to>
            </anchor>
          </controlPr>
        </control>
      </mc:Choice>
      <mc:Fallback>
        <control shapeId="112658" r:id="rId14" name="Control 18"/>
      </mc:Fallback>
    </mc:AlternateContent>
    <mc:AlternateContent xmlns:mc="http://schemas.openxmlformats.org/markup-compatibility/2006">
      <mc:Choice Requires="x14">
        <control shapeId="112657" r:id="rId15" name="Control 17">
          <controlPr defaultSize="0" r:id="rId16">
            <anchor moveWithCells="1">
              <from>
                <xdr:col>0</xdr:col>
                <xdr:colOff>0</xdr:colOff>
                <xdr:row>7</xdr:row>
                <xdr:rowOff>0</xdr:rowOff>
              </from>
              <to>
                <xdr:col>0</xdr:col>
                <xdr:colOff>257175</xdr:colOff>
                <xdr:row>7</xdr:row>
                <xdr:rowOff>238125</xdr:rowOff>
              </to>
            </anchor>
          </controlPr>
        </control>
      </mc:Choice>
      <mc:Fallback>
        <control shapeId="112657" r:id="rId15" name="Control 17"/>
      </mc:Fallback>
    </mc:AlternateContent>
    <mc:AlternateContent xmlns:mc="http://schemas.openxmlformats.org/markup-compatibility/2006">
      <mc:Choice Requires="x14">
        <control shapeId="112656" r:id="rId17" name="Control 16">
          <controlPr defaultSize="0" r:id="rId5">
            <anchor moveWithCells="1">
              <from>
                <xdr:col>0</xdr:col>
                <xdr:colOff>0</xdr:colOff>
                <xdr:row>6</xdr:row>
                <xdr:rowOff>0</xdr:rowOff>
              </from>
              <to>
                <xdr:col>0</xdr:col>
                <xdr:colOff>257175</xdr:colOff>
                <xdr:row>6</xdr:row>
                <xdr:rowOff>238125</xdr:rowOff>
              </to>
            </anchor>
          </controlPr>
        </control>
      </mc:Choice>
      <mc:Fallback>
        <control shapeId="112656" r:id="rId17" name="Control 16"/>
      </mc:Fallback>
    </mc:AlternateContent>
    <mc:AlternateContent xmlns:mc="http://schemas.openxmlformats.org/markup-compatibility/2006">
      <mc:Choice Requires="x14">
        <control shapeId="112655" r:id="rId18" name="Control 15">
          <controlPr defaultSize="0" r:id="rId5">
            <anchor moveWithCells="1">
              <from>
                <xdr:col>0</xdr:col>
                <xdr:colOff>0</xdr:colOff>
                <xdr:row>5</xdr:row>
                <xdr:rowOff>0</xdr:rowOff>
              </from>
              <to>
                <xdr:col>0</xdr:col>
                <xdr:colOff>257175</xdr:colOff>
                <xdr:row>5</xdr:row>
                <xdr:rowOff>238125</xdr:rowOff>
              </to>
            </anchor>
          </controlPr>
        </control>
      </mc:Choice>
      <mc:Fallback>
        <control shapeId="112655" r:id="rId18" name="Control 15"/>
      </mc:Fallback>
    </mc:AlternateContent>
    <mc:AlternateContent xmlns:mc="http://schemas.openxmlformats.org/markup-compatibility/2006">
      <mc:Choice Requires="x14">
        <control shapeId="112654" r:id="rId19" name="Control 14">
          <controlPr defaultSize="0" r:id="rId5">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3" r:id="rId20" name="Control 1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3" r:id="rId20" name="Control 13"/>
      </mc:Fallback>
    </mc:AlternateContent>
    <mc:AlternateContent xmlns:mc="http://schemas.openxmlformats.org/markup-compatibility/2006">
      <mc:Choice Requires="x14">
        <control shapeId="112652" r:id="rId22" name="Control 12">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52" r:id="rId22" name="Control 12"/>
      </mc:Fallback>
    </mc:AlternateContent>
    <mc:AlternateContent xmlns:mc="http://schemas.openxmlformats.org/markup-compatibility/2006">
      <mc:Choice Requires="x14">
        <control shapeId="112651" r:id="rId23" name="Control 1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1" r:id="rId23" name="Control 11"/>
      </mc:Fallback>
    </mc:AlternateContent>
    <mc:AlternateContent xmlns:mc="http://schemas.openxmlformats.org/markup-compatibility/2006">
      <mc:Choice Requires="x14">
        <control shapeId="112650" r:id="rId24" name="Control 10">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0" r:id="rId24" name="Control 10"/>
      </mc:Fallback>
    </mc:AlternateContent>
    <mc:AlternateContent xmlns:mc="http://schemas.openxmlformats.org/markup-compatibility/2006">
      <mc:Choice Requires="x14">
        <control shapeId="112649" r:id="rId25" name="Control 9">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9" r:id="rId25" name="Control 9"/>
      </mc:Fallback>
    </mc:AlternateContent>
    <mc:AlternateContent xmlns:mc="http://schemas.openxmlformats.org/markup-compatibility/2006">
      <mc:Choice Requires="x14">
        <control shapeId="112648" r:id="rId26" name="Control 8">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8" r:id="rId26" name="Control 8"/>
      </mc:Fallback>
    </mc:AlternateContent>
    <mc:AlternateContent xmlns:mc="http://schemas.openxmlformats.org/markup-compatibility/2006">
      <mc:Choice Requires="x14">
        <control shapeId="112647" r:id="rId27" name="Control 7">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7" r:id="rId27" name="Control 7"/>
      </mc:Fallback>
    </mc:AlternateContent>
    <mc:AlternateContent xmlns:mc="http://schemas.openxmlformats.org/markup-compatibility/2006">
      <mc:Choice Requires="x14">
        <control shapeId="112646" r:id="rId28" name="Control 6">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6" r:id="rId28" name="Control 6"/>
      </mc:Fallback>
    </mc:AlternateContent>
    <mc:AlternateContent xmlns:mc="http://schemas.openxmlformats.org/markup-compatibility/2006">
      <mc:Choice Requires="x14">
        <control shapeId="112645" r:id="rId29" name="Control 5">
          <controlPr defaultSize="0" r:id="rId30">
            <anchor moveWithCells="1">
              <from>
                <xdr:col>0</xdr:col>
                <xdr:colOff>0</xdr:colOff>
                <xdr:row>0</xdr:row>
                <xdr:rowOff>0</xdr:rowOff>
              </from>
              <to>
                <xdr:col>1</xdr:col>
                <xdr:colOff>171450</xdr:colOff>
                <xdr:row>1</xdr:row>
                <xdr:rowOff>57150</xdr:rowOff>
              </to>
            </anchor>
          </controlPr>
        </control>
      </mc:Choice>
      <mc:Fallback>
        <control shapeId="112645" r:id="rId29" name="Control 5"/>
      </mc:Fallback>
    </mc:AlternateContent>
    <mc:AlternateContent xmlns:mc="http://schemas.openxmlformats.org/markup-compatibility/2006">
      <mc:Choice Requires="x14">
        <control shapeId="112644" r:id="rId31" name="Control 4">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4" r:id="rId31" name="Control 4"/>
      </mc:Fallback>
    </mc:AlternateContent>
    <mc:AlternateContent xmlns:mc="http://schemas.openxmlformats.org/markup-compatibility/2006">
      <mc:Choice Requires="x14">
        <control shapeId="112643" r:id="rId32" name="Control 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3" r:id="rId32" name="Control 3"/>
      </mc:Fallback>
    </mc:AlternateContent>
    <mc:AlternateContent xmlns:mc="http://schemas.openxmlformats.org/markup-compatibility/2006">
      <mc:Choice Requires="x14">
        <control shapeId="112642" r:id="rId33" name="Control 2">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2" r:id="rId33" name="Control 2"/>
      </mc:Fallback>
    </mc:AlternateContent>
    <mc:AlternateContent xmlns:mc="http://schemas.openxmlformats.org/markup-compatibility/2006">
      <mc:Choice Requires="x14">
        <control shapeId="112641" r:id="rId34" name="Control 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1" r:id="rId34"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45085</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2023-06-08T05:41:36Z</dcterms:modified>
</cp:coreProperties>
</file>