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312西城区人民法院-崔建\翠林一里2号楼1705\"/>
    </mc:Choice>
  </mc:AlternateContent>
  <xr:revisionPtr revIDLastSave="0" documentId="13_ncr:1_{D9FDC608-C9C7-4732-BD7D-3048DE751271}" xr6:coauthVersionLast="45" xr6:coauthVersionMax="45" xr10:uidLastSave="{00000000-0000-0000-0000-000000000000}"/>
  <bookViews>
    <workbookView xWindow="-120" yWindow="-120" windowWidth="21840" windowHeight="13140"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0" i="9" l="1"/>
  <c r="F6" i="67"/>
  <c r="F8" i="67"/>
  <c r="F7" i="67"/>
  <c r="F9" i="67"/>
  <c r="C6" i="67"/>
  <c r="F4" i="73"/>
  <c r="I1" i="73"/>
  <c r="B39" i="1"/>
  <c r="F11" i="67"/>
  <c r="C10" i="67"/>
  <c r="C5" i="67"/>
  <c r="F31"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D2" i="67"/>
  <c r="B3" i="67"/>
  <c r="D20" i="9"/>
  <c r="G20" i="9"/>
  <c r="E14" i="74"/>
  <c r="D14" i="74"/>
  <c r="B14" i="74"/>
  <c r="M25" i="80"/>
  <c r="M24" i="80"/>
  <c r="M21" i="80"/>
  <c r="M22" i="80"/>
  <c r="M23" i="80"/>
  <c r="M20" i="80"/>
  <c r="S9" i="79"/>
  <c r="T9" i="79"/>
  <c r="U9" i="79"/>
  <c r="V9" i="79"/>
  <c r="W9" i="79"/>
  <c r="S10" i="79"/>
  <c r="T10" i="79"/>
  <c r="U10" i="79"/>
  <c r="V10" i="79"/>
  <c r="W10" i="79"/>
  <c r="S11" i="79"/>
  <c r="T11" i="79"/>
  <c r="U11" i="79"/>
  <c r="V11" i="79"/>
  <c r="W11" i="79"/>
  <c r="S12" i="79"/>
  <c r="T12" i="79"/>
  <c r="U12" i="79"/>
  <c r="V12" i="79"/>
  <c r="W12" i="79"/>
  <c r="S13" i="79"/>
  <c r="T13" i="79"/>
  <c r="U13" i="79"/>
  <c r="V13" i="79"/>
  <c r="W13" i="79"/>
  <c r="S14" i="79"/>
  <c r="T14" i="79"/>
  <c r="U14" i="79"/>
  <c r="V14" i="79"/>
  <c r="W14" i="79"/>
  <c r="S15" i="79"/>
  <c r="T15" i="79"/>
  <c r="U15" i="79"/>
  <c r="V15" i="79"/>
  <c r="W15" i="79"/>
  <c r="C23" i="43"/>
  <c r="C33" i="43"/>
  <c r="C6" i="69"/>
  <c r="D33" i="43"/>
  <c r="C79" i="43"/>
  <c r="C76" i="43"/>
  <c r="C73" i="43"/>
  <c r="C72" i="43"/>
  <c r="C33" i="21"/>
  <c r="I33" i="21"/>
  <c r="G33" i="21"/>
  <c r="E33" i="21"/>
  <c r="I47" i="21"/>
  <c r="G47" i="21"/>
  <c r="E47" i="21"/>
  <c r="I5" i="21"/>
  <c r="G5" i="21"/>
  <c r="E5" i="21"/>
  <c r="D14" i="9"/>
  <c r="G1" i="69"/>
  <c r="D9" i="69"/>
  <c r="C9" i="69"/>
  <c r="B29" i="1"/>
  <c r="Y6" i="1"/>
  <c r="F19" i="6"/>
  <c r="D3" i="4"/>
  <c r="A7" i="1"/>
  <c r="B7" i="1"/>
  <c r="E7" i="1"/>
  <c r="A8" i="1"/>
  <c r="B8" i="1"/>
  <c r="E8" i="1"/>
  <c r="A9" i="1"/>
  <c r="B9" i="1"/>
  <c r="E9" i="1"/>
  <c r="A10" i="1"/>
  <c r="B10" i="1"/>
  <c r="E10" i="1"/>
  <c r="A11" i="1"/>
  <c r="B11" i="1"/>
  <c r="E11" i="1"/>
  <c r="A12" i="1"/>
  <c r="B12" i="1"/>
  <c r="E12" i="1"/>
  <c r="A13" i="1"/>
  <c r="B13" i="1"/>
  <c r="E13" i="1"/>
  <c r="A6" i="1"/>
  <c r="B6" i="1"/>
  <c r="E6" i="1"/>
  <c r="M26" i="79"/>
  <c r="P26" i="79"/>
  <c r="M27" i="79"/>
  <c r="P27" i="79"/>
  <c r="L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B8" i="74"/>
  <c r="E111" i="9"/>
  <c r="H112" i="9"/>
  <c r="C8" i="74"/>
  <c r="B7" i="74"/>
  <c r="E109" i="9"/>
  <c r="H109" i="9"/>
  <c r="H110" i="9"/>
  <c r="C7" i="74"/>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O15" i="79"/>
  <c r="N15" i="79"/>
  <c r="M15" i="79"/>
  <c r="P15" i="79"/>
  <c r="L15" i="79"/>
  <c r="K15" i="79"/>
  <c r="R15" i="79"/>
  <c r="I15" i="79"/>
  <c r="AA14" i="79"/>
  <c r="AD14" i="79"/>
  <c r="AC14" i="79"/>
  <c r="AB14" i="79"/>
  <c r="Z14" i="79"/>
  <c r="Y14" i="79"/>
  <c r="O14" i="79"/>
  <c r="N14" i="79"/>
  <c r="M14" i="79"/>
  <c r="L14" i="79"/>
  <c r="K14" i="79"/>
  <c r="R14" i="79"/>
  <c r="I14" i="79"/>
  <c r="AC13" i="79"/>
  <c r="AB13" i="79"/>
  <c r="AA13" i="79"/>
  <c r="AD13" i="79"/>
  <c r="Z13" i="79"/>
  <c r="Y13" i="79"/>
  <c r="O13" i="79"/>
  <c r="N13" i="79"/>
  <c r="M13" i="79"/>
  <c r="P13" i="79"/>
  <c r="L13" i="79"/>
  <c r="K13" i="79"/>
  <c r="R13" i="79"/>
  <c r="I13" i="79"/>
  <c r="AA12" i="79"/>
  <c r="AD12" i="79"/>
  <c r="AC12" i="79"/>
  <c r="AB12" i="79"/>
  <c r="Z12" i="79"/>
  <c r="Y12" i="79"/>
  <c r="O12" i="79"/>
  <c r="N12" i="79"/>
  <c r="M12" i="79"/>
  <c r="L12" i="79"/>
  <c r="K12" i="79"/>
  <c r="R12" i="79"/>
  <c r="I12" i="79"/>
  <c r="AC11" i="79"/>
  <c r="AB11" i="79"/>
  <c r="AA11" i="79"/>
  <c r="AD11" i="79"/>
  <c r="Z11" i="79"/>
  <c r="Y11" i="79"/>
  <c r="O11" i="79"/>
  <c r="N11" i="79"/>
  <c r="M11" i="79"/>
  <c r="P11" i="79"/>
  <c r="L11" i="79"/>
  <c r="K11" i="79"/>
  <c r="R11" i="79"/>
  <c r="I11" i="79"/>
  <c r="AC10" i="79"/>
  <c r="AB10" i="79"/>
  <c r="AA10" i="79"/>
  <c r="AD10" i="79"/>
  <c r="Z10" i="79"/>
  <c r="Y10" i="79"/>
  <c r="O10" i="79"/>
  <c r="N10" i="79"/>
  <c r="M10" i="79"/>
  <c r="L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F6" i="1"/>
  <c r="I24" i="43"/>
  <c r="K47" i="78"/>
  <c r="K46" i="78"/>
  <c r="K45" i="78"/>
  <c r="K41" i="78"/>
  <c r="K40" i="78"/>
  <c r="K39" i="78"/>
  <c r="K38" i="78"/>
  <c r="K37" i="78"/>
  <c r="K36" i="78"/>
  <c r="K35" i="78"/>
  <c r="K23" i="78"/>
  <c r="K24" i="78"/>
  <c r="K25" i="78"/>
  <c r="K26" i="78"/>
  <c r="K27" i="78"/>
  <c r="K28" i="78"/>
  <c r="K29" i="78"/>
  <c r="K30" i="78"/>
  <c r="K22" i="78"/>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6" i="79"/>
  <c r="V5" i="79"/>
  <c r="V7" i="79"/>
  <c r="V8" i="79"/>
  <c r="S7" i="79"/>
  <c r="S8" i="79"/>
  <c r="S5" i="79"/>
  <c r="S6" i="79"/>
  <c r="U7" i="79"/>
  <c r="U5" i="79"/>
  <c r="U8" i="79"/>
  <c r="U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5" i="79"/>
  <c r="P30" i="79"/>
  <c r="P32" i="79"/>
  <c r="P34" i="79"/>
  <c r="P29" i="79"/>
  <c r="P31" i="79"/>
  <c r="P33" i="79"/>
  <c r="P35"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H19" i="21"/>
  <c r="D83" i="21"/>
  <c r="F21" i="21"/>
  <c r="AA2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C15" i="4"/>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BR5" i="3"/>
  <c r="G28" i="6"/>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AZ80" i="3"/>
  <c r="AZ84" i="3"/>
  <c r="AZ88" i="3"/>
  <c r="AZ107" i="3"/>
  <c r="AZ111" i="3"/>
  <c r="K12" i="1"/>
  <c r="M12" i="1"/>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G5" i="3"/>
  <c r="B3" i="3"/>
  <c r="E510" i="3"/>
  <c r="BA13" i="3"/>
  <c r="BA5" i="3"/>
  <c r="BL17" i="3"/>
  <c r="AZ17" i="3"/>
  <c r="BL13" i="3"/>
  <c r="BL5" i="3"/>
  <c r="J56" i="9"/>
  <c r="J57" i="9"/>
  <c r="J59" i="9"/>
  <c r="J61" i="9"/>
  <c r="A24" i="51"/>
  <c r="B18" i="72"/>
  <c r="U29" i="34"/>
  <c r="E5" i="6"/>
  <c r="E32" i="6"/>
  <c r="G1" i="68"/>
  <c r="K1" i="12"/>
  <c r="E19" i="69"/>
  <c r="E19" i="68"/>
  <c r="E19" i="11"/>
  <c r="E1" i="73"/>
  <c r="G22" i="69"/>
  <c r="G22" i="68"/>
  <c r="G26" i="12"/>
  <c r="G22" i="11"/>
  <c r="C6" i="43"/>
  <c r="B19" i="53"/>
  <c r="B37" i="72"/>
  <c r="C7" i="39"/>
  <c r="C67" i="39"/>
  <c r="C7" i="35"/>
  <c r="C7" i="33"/>
  <c r="C7" i="21"/>
  <c r="C7" i="40"/>
  <c r="C63" i="40"/>
  <c r="M47" i="9"/>
  <c r="G23" i="43"/>
  <c r="C46" i="36"/>
  <c r="D46" i="36"/>
  <c r="E46" i="36"/>
  <c r="F46" i="36"/>
  <c r="G46" i="36"/>
  <c r="H46" i="36"/>
  <c r="I46" i="36"/>
  <c r="C52" i="37"/>
  <c r="D52" i="37"/>
  <c r="A4" i="51"/>
  <c r="B6" i="72"/>
  <c r="C48" i="35"/>
  <c r="D48" i="35"/>
  <c r="H67" i="43"/>
  <c r="L20" i="6"/>
  <c r="K11" i="1"/>
  <c r="M11" i="1"/>
  <c r="O11"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M49" i="9"/>
  <c r="D16" i="53"/>
  <c r="B34" i="72"/>
  <c r="D21" i="53"/>
  <c r="B39" i="72"/>
  <c r="H111" i="9"/>
  <c r="D126" i="9"/>
  <c r="D19" i="53"/>
  <c r="B38" i="72"/>
  <c r="AD3" i="71"/>
  <c r="J1" i="73"/>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F7" i="15"/>
  <c r="E7" i="76"/>
  <c r="F43" i="15"/>
  <c r="B10" i="76"/>
  <c r="F37" i="15"/>
  <c r="D35" i="9"/>
  <c r="L47" i="15"/>
  <c r="E13" i="76"/>
  <c r="E9" i="76"/>
  <c r="L48" i="15"/>
  <c r="B9" i="76"/>
  <c r="S7" i="1"/>
  <c r="D3" i="73"/>
  <c r="K1" i="73"/>
  <c r="E6" i="70"/>
  <c r="E2" i="70"/>
  <c r="AE7" i="1"/>
  <c r="J57" i="67"/>
  <c r="J55" i="67"/>
  <c r="J58" i="67"/>
  <c r="J59" i="67"/>
  <c r="J60" i="67"/>
  <c r="L46" i="67"/>
  <c r="B2" i="67"/>
  <c r="D19" i="9"/>
  <c r="F8" i="15"/>
  <c r="B7" i="76"/>
  <c r="F9" i="15"/>
  <c r="M28" i="15"/>
  <c r="F7" i="73"/>
  <c r="B12" i="76"/>
  <c r="M24" i="67"/>
  <c r="F40" i="15"/>
  <c r="M26" i="15"/>
  <c r="F36" i="15"/>
  <c r="F20" i="31"/>
  <c r="F6" i="73"/>
  <c r="D7" i="73"/>
  <c r="F6" i="15"/>
  <c r="M29" i="67"/>
  <c r="M9" i="15"/>
  <c r="F13" i="15"/>
  <c r="E2" i="69"/>
  <c r="M22" i="67"/>
  <c r="M26" i="67"/>
  <c r="AO13" i="1"/>
  <c r="M24" i="15"/>
  <c r="L47" i="67"/>
  <c r="M28" i="67"/>
  <c r="F5" i="73"/>
  <c r="D6" i="73"/>
  <c r="M6" i="15"/>
  <c r="C76" i="15"/>
  <c r="B8" i="76"/>
  <c r="M23" i="15"/>
  <c r="D2" i="21"/>
  <c r="R48" i="21"/>
  <c r="T48" i="21"/>
  <c r="AC32" i="21"/>
  <c r="V48" i="21"/>
  <c r="R49" i="21"/>
  <c r="C49" i="21"/>
  <c r="D3" i="21"/>
  <c r="B2" i="21"/>
  <c r="C19" i="9"/>
  <c r="F42" i="15"/>
  <c r="J15" i="67"/>
  <c r="E2" i="68"/>
  <c r="E8" i="76"/>
  <c r="J15" i="15"/>
  <c r="E11" i="76"/>
  <c r="F26" i="15"/>
  <c r="E10" i="76"/>
  <c r="M23" i="67"/>
  <c r="M8" i="15"/>
  <c r="M29" i="15"/>
  <c r="B11" i="76"/>
  <c r="B3" i="21"/>
  <c r="D4" i="73"/>
  <c r="F16" i="15"/>
  <c r="F3" i="73"/>
  <c r="E12" i="76"/>
  <c r="D34" i="9"/>
  <c r="C76" i="67"/>
  <c r="M22" i="15"/>
  <c r="F38" i="15"/>
  <c r="B13" i="76"/>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E28" i="6"/>
  <c r="L19" i="6"/>
  <c r="L27" i="6"/>
  <c r="M6" i="1"/>
  <c r="O6" i="1"/>
  <c r="T13" i="1"/>
  <c r="C58" i="21"/>
  <c r="C58" i="33"/>
  <c r="C59" i="34"/>
  <c r="D59" i="34"/>
  <c r="E59" i="34"/>
  <c r="F59" i="34"/>
  <c r="G59" i="34"/>
  <c r="H59" i="34"/>
  <c r="I59" i="34"/>
  <c r="J59" i="34"/>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K14" i="1"/>
  <c r="K16" i="1"/>
  <c r="D9" i="11"/>
  <c r="C9" i="11"/>
  <c r="D19" i="12"/>
  <c r="C19" i="12"/>
  <c r="AZ13" i="3"/>
  <c r="AZ5" i="3"/>
  <c r="O9" i="1"/>
  <c r="P9" i="1"/>
  <c r="O12" i="1"/>
  <c r="P12" i="1"/>
  <c r="O8" i="1"/>
  <c r="P8" i="1"/>
  <c r="H73" i="43"/>
  <c r="H90" i="43"/>
  <c r="O23" i="43"/>
  <c r="I18" i="43"/>
  <c r="E17" i="43"/>
  <c r="C17" i="43"/>
  <c r="C24" i="43"/>
  <c r="H26" i="43"/>
  <c r="F26" i="43"/>
  <c r="J26" i="43"/>
  <c r="G26" i="43"/>
  <c r="E26" i="43"/>
  <c r="A1" i="79"/>
  <c r="H55" i="43"/>
  <c r="H86" i="43"/>
  <c r="H87" i="43"/>
  <c r="N370" i="46"/>
  <c r="N94" i="46"/>
  <c r="H89" i="43"/>
  <c r="H88" i="43"/>
  <c r="H84" i="43"/>
  <c r="C69" i="39"/>
  <c r="D67" i="39"/>
  <c r="D69" i="39"/>
  <c r="T35" i="4"/>
  <c r="A19" i="51"/>
  <c r="B14" i="72"/>
  <c r="D18" i="53"/>
  <c r="B35"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D22" i="9"/>
  <c r="G19" i="9"/>
  <c r="Q71" i="15"/>
  <c r="J53" i="15"/>
  <c r="L56" i="15"/>
  <c r="J57" i="15"/>
  <c r="J55" i="15"/>
  <c r="J58" i="15"/>
  <c r="Q50" i="15"/>
  <c r="I54" i="15"/>
  <c r="B20" i="31"/>
  <c r="B21" i="31"/>
  <c r="F51" i="67"/>
  <c r="F65" i="67"/>
  <c r="Q50" i="67"/>
  <c r="L56" i="67"/>
  <c r="I54" i="67"/>
  <c r="M7" i="15"/>
  <c r="J6" i="15"/>
  <c r="F50" i="15"/>
  <c r="F51" i="15"/>
  <c r="F71" i="15"/>
  <c r="C6" i="15"/>
  <c r="F66" i="67"/>
  <c r="L59" i="15"/>
  <c r="N59" i="15"/>
  <c r="L58" i="15"/>
  <c r="M59" i="15"/>
  <c r="F66" i="15"/>
  <c r="Q71" i="67"/>
  <c r="F64" i="15"/>
  <c r="D103" i="9"/>
  <c r="F71" i="67"/>
  <c r="C27" i="15"/>
  <c r="F65" i="15"/>
  <c r="C103" i="9"/>
  <c r="N59" i="67"/>
  <c r="L59" i="67"/>
  <c r="L58" i="67"/>
  <c r="M59" i="67"/>
  <c r="B13" i="70"/>
  <c r="F50" i="67"/>
  <c r="F68" i="67"/>
  <c r="F64" i="67"/>
  <c r="F68" i="15"/>
  <c r="C36" i="68"/>
  <c r="F27" i="69"/>
  <c r="C36" i="69"/>
  <c r="D9" i="68"/>
  <c r="C16" i="15"/>
  <c r="E61" i="43"/>
  <c r="B59" i="43"/>
  <c r="E72" i="43"/>
  <c r="B70" i="43"/>
  <c r="C28" i="43"/>
  <c r="B116" i="43"/>
  <c r="Z7" i="43"/>
  <c r="E30" i="6"/>
  <c r="E56" i="39"/>
  <c r="H7" i="34"/>
  <c r="AB7" i="34"/>
  <c r="T49" i="34"/>
  <c r="G49" i="34"/>
  <c r="E67" i="39"/>
  <c r="J7" i="34"/>
  <c r="W7" i="34"/>
  <c r="F7" i="34"/>
  <c r="S7" i="34"/>
  <c r="AA26" i="35"/>
  <c r="S26" i="35"/>
  <c r="AC26" i="35"/>
  <c r="W26" i="35"/>
  <c r="AB26" i="35"/>
  <c r="U26" i="35"/>
  <c r="E61" i="39"/>
  <c r="E56" i="40"/>
  <c r="C47" i="69"/>
  <c r="D45" i="69"/>
  <c r="C9" i="68"/>
  <c r="C29" i="69"/>
  <c r="D27" i="69"/>
  <c r="F45" i="69"/>
  <c r="F27" i="11"/>
  <c r="C29" i="11"/>
  <c r="D27" i="11"/>
  <c r="F28" i="12"/>
  <c r="C29" i="12"/>
  <c r="D28" i="12"/>
  <c r="E60" i="40"/>
  <c r="E27" i="6"/>
  <c r="K26" i="6"/>
  <c r="M26" i="6"/>
  <c r="I26" i="6"/>
  <c r="S26" i="6"/>
  <c r="F31" i="6"/>
  <c r="E51" i="40"/>
  <c r="E16" i="6"/>
  <c r="AC6" i="3"/>
  <c r="H6" i="3"/>
  <c r="E58" i="40"/>
  <c r="E62" i="39"/>
  <c r="E65" i="39"/>
  <c r="AY6" i="3"/>
  <c r="E3" i="6"/>
  <c r="M14" i="1"/>
  <c r="D5" i="43"/>
  <c r="J10" i="40"/>
  <c r="AC10" i="40"/>
  <c r="H10" i="39"/>
  <c r="U10" i="39"/>
  <c r="F10" i="40"/>
  <c r="S10" i="40"/>
  <c r="J10" i="39"/>
  <c r="W10" i="39"/>
  <c r="H10" i="40"/>
  <c r="AB10" i="40"/>
  <c r="D26" i="43"/>
  <c r="C25" i="43"/>
  <c r="C7" i="43"/>
  <c r="C5" i="43"/>
  <c r="D10" i="52"/>
  <c r="D125" i="9"/>
  <c r="D11" i="52"/>
  <c r="F67" i="39"/>
  <c r="E69" i="39"/>
  <c r="F59" i="67"/>
  <c r="H7" i="37"/>
  <c r="AB7" i="37"/>
  <c r="T42" i="37"/>
  <c r="G42" i="37"/>
  <c r="L36" i="43"/>
  <c r="S10" i="39"/>
  <c r="AA10" i="39"/>
  <c r="H7" i="33"/>
  <c r="J7" i="33"/>
  <c r="D65" i="40"/>
  <c r="E63" i="40"/>
  <c r="F48" i="35"/>
  <c r="S7" i="36"/>
  <c r="AA7" i="36"/>
  <c r="R36" i="36"/>
  <c r="AC7" i="37"/>
  <c r="V42" i="37"/>
  <c r="I42" i="37"/>
  <c r="W7" i="37"/>
  <c r="AB7" i="36"/>
  <c r="T36" i="36"/>
  <c r="G36" i="36"/>
  <c r="U7" i="36"/>
  <c r="F7" i="33"/>
  <c r="E58" i="21"/>
  <c r="AC7" i="36"/>
  <c r="V36" i="36"/>
  <c r="I36" i="36"/>
  <c r="W7" i="36"/>
  <c r="F7" i="37"/>
  <c r="D14" i="71"/>
  <c r="M17" i="67"/>
  <c r="M17" i="15"/>
  <c r="F59" i="15"/>
  <c r="P28" i="43"/>
  <c r="B66" i="40"/>
  <c r="P25" i="43"/>
  <c r="C49" i="67"/>
  <c r="P29" i="43"/>
  <c r="P27" i="43"/>
  <c r="B70" i="39"/>
  <c r="C49" i="15"/>
  <c r="J18" i="15"/>
  <c r="C32" i="67"/>
  <c r="C32" i="9"/>
  <c r="Q60" i="67"/>
  <c r="Q73" i="67"/>
  <c r="F11" i="15"/>
  <c r="M11" i="15"/>
  <c r="J10" i="15"/>
  <c r="J5" i="15"/>
  <c r="J24" i="15"/>
  <c r="F1" i="15"/>
  <c r="Q52" i="15"/>
  <c r="J18" i="67"/>
  <c r="C32" i="15"/>
  <c r="Q52" i="67"/>
  <c r="Q60" i="15"/>
  <c r="Q73" i="15"/>
  <c r="Q61" i="67"/>
  <c r="Q74" i="67"/>
  <c r="Q74" i="15"/>
  <c r="Q61" i="15"/>
  <c r="AE11" i="1"/>
  <c r="AE9" i="1"/>
  <c r="F27" i="68"/>
  <c r="AE8" i="1"/>
  <c r="AE12" i="1"/>
  <c r="AE10" i="1"/>
  <c r="L37" i="43"/>
  <c r="P36" i="43"/>
  <c r="N36" i="43"/>
  <c r="Q36" i="43"/>
  <c r="O36" i="43"/>
  <c r="M36" i="43"/>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11" i="71"/>
  <c r="J24" i="67"/>
  <c r="C53" i="67"/>
  <c r="C48" i="67"/>
  <c r="C53" i="15"/>
  <c r="C48" i="15"/>
  <c r="C66" i="15"/>
  <c r="C10" i="15"/>
  <c r="C5" i="15"/>
  <c r="C38" i="15"/>
  <c r="F25" i="12"/>
  <c r="F22" i="69"/>
  <c r="F41" i="69"/>
  <c r="F22" i="11"/>
  <c r="F22" i="68"/>
  <c r="F24" i="15"/>
  <c r="C24" i="15"/>
  <c r="C35" i="9"/>
  <c r="M27" i="67"/>
  <c r="M27" i="15"/>
  <c r="F41" i="15"/>
  <c r="P37" i="43"/>
  <c r="M37" i="43"/>
  <c r="Q37" i="43"/>
  <c r="O37" i="43"/>
  <c r="N37" i="43"/>
  <c r="M21" i="6"/>
  <c r="I21" i="6"/>
  <c r="S21" i="6"/>
  <c r="C34" i="43"/>
  <c r="E34" i="43"/>
  <c r="F69" i="15"/>
  <c r="E33" i="43"/>
  <c r="M24" i="6"/>
  <c r="I24" i="6"/>
  <c r="S24" i="6"/>
  <c r="S11" i="1"/>
  <c r="E11" i="70"/>
  <c r="M22" i="6"/>
  <c r="I22" i="6"/>
  <c r="S22" i="6"/>
  <c r="S9" i="1"/>
  <c r="AQ8" i="1"/>
  <c r="T8" i="1"/>
  <c r="AR8" i="1"/>
  <c r="M20" i="6"/>
  <c r="I20" i="6"/>
  <c r="S20" i="6"/>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F41" i="68"/>
  <c r="C60" i="15"/>
  <c r="C26" i="69"/>
  <c r="D22" i="69"/>
  <c r="C44" i="69"/>
  <c r="D41" i="69"/>
  <c r="C44" i="68"/>
  <c r="D41" i="68"/>
  <c r="C23" i="68"/>
  <c r="C26" i="68"/>
  <c r="D22" i="68"/>
  <c r="C26" i="12"/>
  <c r="D25" i="12"/>
  <c r="C44" i="11"/>
  <c r="D41" i="11"/>
  <c r="C23" i="11"/>
  <c r="C24" i="11"/>
  <c r="C25" i="11"/>
  <c r="C26" i="11"/>
  <c r="D22" i="11"/>
  <c r="C34" i="9"/>
  <c r="C66" i="67"/>
  <c r="C60" i="67"/>
  <c r="D10" i="69"/>
  <c r="C34" i="69"/>
  <c r="D10" i="68"/>
  <c r="C17" i="15"/>
  <c r="H23" i="6"/>
  <c r="C30" i="43"/>
  <c r="C31" i="43"/>
  <c r="H20" i="6"/>
  <c r="R20" i="6"/>
  <c r="R7" i="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C21" i="9"/>
  <c r="D21" i="9"/>
  <c r="G21" i="9"/>
  <c r="R25" i="6"/>
  <c r="R12" i="1"/>
  <c r="C10" i="68"/>
  <c r="D19" i="68"/>
  <c r="B2" i="43"/>
  <c r="B3" i="43"/>
  <c r="H69" i="39"/>
  <c r="I67" i="39"/>
  <c r="D10" i="71"/>
  <c r="C9" i="71"/>
  <c r="C8" i="71"/>
  <c r="G65" i="40"/>
  <c r="H63" i="40"/>
  <c r="C43" i="37"/>
  <c r="C42" i="37"/>
  <c r="I48" i="35"/>
  <c r="C48" i="33"/>
  <c r="C49" i="33"/>
  <c r="H58" i="21"/>
  <c r="E47" i="37"/>
  <c r="F47" i="37"/>
  <c r="E46" i="37"/>
  <c r="F46" i="37"/>
  <c r="I47" i="37"/>
  <c r="J47" i="37"/>
  <c r="E53" i="33"/>
  <c r="F53" i="33"/>
  <c r="E52" i="33"/>
  <c r="F52" i="33"/>
  <c r="C33" i="15"/>
  <c r="C22" i="11"/>
  <c r="C31" i="11"/>
  <c r="C33" i="67"/>
  <c r="J19" i="67"/>
  <c r="C34" i="68"/>
  <c r="B6" i="76"/>
  <c r="E6" i="76"/>
  <c r="C14" i="15"/>
  <c r="D8" i="71"/>
  <c r="C7" i="71"/>
  <c r="T16" i="1"/>
  <c r="C18" i="15"/>
  <c r="C15" i="15"/>
  <c r="C38" i="68"/>
  <c r="C35" i="68"/>
  <c r="C36" i="11"/>
  <c r="C37" i="11"/>
  <c r="C34" i="11"/>
  <c r="C23" i="12"/>
  <c r="C14" i="12"/>
  <c r="C16" i="12"/>
  <c r="C21" i="12"/>
  <c r="C22" i="12"/>
  <c r="H19" i="6"/>
  <c r="S19" i="6"/>
  <c r="S27" i="6"/>
  <c r="I27" i="6"/>
  <c r="C19" i="68"/>
  <c r="D37" i="68"/>
  <c r="C37" i="68"/>
  <c r="C19" i="69"/>
  <c r="C24" i="69"/>
  <c r="D37" i="69"/>
  <c r="C37" i="69"/>
  <c r="C33" i="69"/>
  <c r="I5" i="6"/>
  <c r="I6" i="6"/>
  <c r="C23" i="69"/>
  <c r="E2" i="76"/>
  <c r="B2" i="76"/>
  <c r="I69" i="39"/>
  <c r="J67" i="39"/>
  <c r="D9" i="71"/>
  <c r="I63" i="40"/>
  <c r="H65" i="40"/>
  <c r="I58" i="21"/>
  <c r="J58" i="21"/>
  <c r="K58" i="21"/>
  <c r="L58" i="21"/>
  <c r="M58" i="21"/>
  <c r="N58" i="21"/>
  <c r="O58" i="21"/>
  <c r="H7" i="21"/>
  <c r="J7" i="21"/>
  <c r="F7" i="21"/>
  <c r="J48" i="35"/>
  <c r="D7" i="71"/>
  <c r="C6" i="71"/>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U7" i="21"/>
  <c r="AB7" i="21"/>
  <c r="G48" i="21"/>
  <c r="S7" i="21"/>
  <c r="AA7" i="21"/>
  <c r="J63" i="40"/>
  <c r="I65" i="40"/>
  <c r="K48" i="35"/>
  <c r="L48" i="35"/>
  <c r="M48" i="35"/>
  <c r="N48" i="35"/>
  <c r="O48" i="35"/>
  <c r="H7" i="35"/>
  <c r="J7" i="35"/>
  <c r="AC7" i="21"/>
  <c r="I48" i="21"/>
  <c r="W7" i="21"/>
  <c r="D6" i="71"/>
  <c r="C5" i="71"/>
  <c r="Q49" i="67"/>
  <c r="J14" i="67"/>
  <c r="J13" i="67"/>
  <c r="J23" i="67"/>
  <c r="C57" i="67"/>
  <c r="C64"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W7" i="35"/>
  <c r="AC7" i="35"/>
  <c r="V38" i="35"/>
  <c r="I38" i="35"/>
  <c r="J65" i="40"/>
  <c r="K63" i="40"/>
  <c r="I52" i="21"/>
  <c r="J52" i="21"/>
  <c r="U7" i="35"/>
  <c r="AB7" i="35"/>
  <c r="T38" i="35"/>
  <c r="G38" i="35"/>
  <c r="E48" i="21"/>
  <c r="G52" i="21"/>
  <c r="H52" i="21"/>
  <c r="G53" i="21"/>
  <c r="H53" i="21"/>
  <c r="F7" i="35"/>
  <c r="F35" i="67"/>
  <c r="M21" i="67"/>
  <c r="M21" i="15"/>
  <c r="F35" i="15"/>
  <c r="D5" i="71"/>
  <c r="M24" i="43"/>
  <c r="C56" i="67"/>
  <c r="C65" i="67"/>
  <c r="J22" i="67"/>
  <c r="C75" i="67"/>
  <c r="C36" i="15"/>
  <c r="J59" i="15"/>
  <c r="J60" i="15"/>
  <c r="Q48" i="15"/>
  <c r="C46" i="11"/>
  <c r="C45" i="11"/>
  <c r="C43" i="11"/>
  <c r="C42" i="11"/>
  <c r="C34"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C48" i="21"/>
  <c r="E52" i="21"/>
  <c r="F52" i="21"/>
  <c r="E53" i="21"/>
  <c r="F53" i="21"/>
  <c r="G42" i="35"/>
  <c r="H42" i="35"/>
  <c r="G43" i="35"/>
  <c r="H43" i="35"/>
  <c r="I53" i="21"/>
  <c r="J53" i="21"/>
  <c r="K65" i="40"/>
  <c r="L63" i="40"/>
  <c r="I42" i="35"/>
  <c r="J42" i="35"/>
  <c r="C58" i="67"/>
  <c r="C67" i="67"/>
  <c r="C68" i="67"/>
  <c r="C71" i="67"/>
  <c r="J16" i="67"/>
  <c r="J25"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L51" i="67"/>
  <c r="L57" i="67"/>
  <c r="L60" i="67"/>
  <c r="Q67" i="67"/>
  <c r="C80" i="67"/>
  <c r="C79" i="67"/>
  <c r="C45" i="67"/>
  <c r="C56" i="11"/>
  <c r="C57" i="1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Q65" i="67"/>
  <c r="Q66" i="67"/>
  <c r="Q57" i="67"/>
  <c r="B2" i="33"/>
  <c r="B3" i="33"/>
  <c r="C83" i="67"/>
  <c r="C82" i="67"/>
  <c r="Q47" i="67"/>
  <c r="Q53" i="67"/>
  <c r="C46" i="67"/>
  <c r="Q56" i="67"/>
  <c r="C43" i="67"/>
  <c r="C80" i="15"/>
  <c r="C79" i="15"/>
  <c r="C40" i="15"/>
  <c r="C46" i="15"/>
  <c r="H7" i="39"/>
  <c r="J7" i="39"/>
  <c r="S7" i="39"/>
  <c r="AA7" i="39"/>
  <c r="R47" i="39"/>
  <c r="O63" i="40"/>
  <c r="O65" i="40"/>
  <c r="N65" i="40"/>
  <c r="D2" i="37"/>
  <c r="D2" i="34"/>
  <c r="D2" i="36"/>
  <c r="D2" i="35"/>
  <c r="L51" i="15"/>
  <c r="Q75" i="67"/>
  <c r="Q62"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9" i="1"/>
  <c r="AO12" i="1"/>
  <c r="AO10" i="1"/>
  <c r="AO7" i="1"/>
  <c r="AO11" i="1"/>
  <c r="AO8" i="1"/>
  <c r="Q66" i="15"/>
  <c r="Q75" i="15"/>
  <c r="Q62" i="15"/>
  <c r="B9" i="70"/>
  <c r="B11" i="70"/>
  <c r="B7" i="70"/>
  <c r="B10" i="70"/>
  <c r="B12"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AO6" i="1"/>
  <c r="B6" i="70"/>
  <c r="B2" i="70"/>
  <c r="B3" i="70"/>
  <c r="C73" i="9"/>
  <c r="C78" i="9"/>
  <c r="D59" i="9"/>
  <c r="M55" i="9"/>
  <c r="M54" i="9"/>
  <c r="D56" i="9"/>
  <c r="D58" i="9"/>
  <c r="C97" i="9"/>
  <c r="B31" i="72"/>
  <c r="D15" i="53"/>
  <c r="C86" i="9"/>
  <c r="C93" i="9"/>
  <c r="C85" i="9"/>
  <c r="C95" i="9"/>
  <c r="C96" i="9"/>
  <c r="E96" i="9"/>
  <c r="E97" i="9"/>
  <c r="B48" i="72"/>
  <c r="E4" i="52"/>
  <c r="C5" i="74"/>
  <c r="C64" i="9"/>
  <c r="C63" i="9"/>
  <c r="C67" i="9"/>
  <c r="C68" i="9"/>
  <c r="D54" i="9"/>
  <c r="D9" i="52"/>
  <c r="D123" i="9"/>
  <c r="H5" i="52"/>
  <c r="H119" i="9"/>
  <c r="H102" i="9"/>
  <c r="D7" i="53"/>
  <c r="B21" i="72"/>
  <c r="B53" i="72"/>
  <c r="F5" i="52"/>
  <c r="F119" i="9"/>
  <c r="B20" i="72"/>
  <c r="D119" i="9"/>
  <c r="D5" i="52"/>
  <c r="B49" i="72"/>
  <c r="C80" i="9"/>
  <c r="E80" i="9"/>
  <c r="E81" i="9"/>
  <c r="H108" i="9"/>
  <c r="C6" i="74"/>
  <c r="D5" i="53"/>
  <c r="D6" i="53"/>
  <c r="B22" i="72"/>
  <c r="E118" i="9"/>
  <c r="D118" i="9"/>
  <c r="D4" i="52"/>
  <c r="B47" i="72"/>
  <c r="M48" i="9"/>
  <c r="G4" i="52"/>
  <c r="B52" i="72"/>
  <c r="B30" i="72"/>
  <c r="D13" i="53"/>
  <c r="D14" i="53"/>
  <c r="B32" i="72"/>
  <c r="H107" i="9"/>
  <c r="D122" i="9"/>
  <c r="D8" i="52"/>
  <c r="C72" i="9"/>
  <c r="C79" i="9"/>
  <c r="C81" i="9"/>
  <c r="P57" i="9"/>
  <c r="N58" i="9"/>
  <c r="C104" i="9"/>
  <c r="H4" i="52"/>
  <c r="C105" i="9"/>
  <c r="I4" i="52"/>
  <c r="G118" i="9"/>
  <c r="F118" i="9"/>
  <c r="F4" i="52"/>
  <c r="B51" i="72"/>
  <c r="N61" i="9"/>
  <c r="D55" i="9"/>
  <c r="M53" i="9"/>
  <c r="N57" i="9"/>
  <c r="N59" i="9"/>
  <c r="N60" i="9"/>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<sst xmlns="http://schemas.openxmlformats.org/spreadsheetml/2006/main" count="7959" uniqueCount="3457">
  <si>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</si>
  <si>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</si>
  <si>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</si>
  <si>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</si>
  <si>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</si>
  <si>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</si>
  <si>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</si>
  <si>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</si>
  <si>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</si>
  <si>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</si>
  <si>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</si>
  <si>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</si>
  <si>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</si>
  <si>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</si>
  <si>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</si>
  <si>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</si>
  <si>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</si>
  <si>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</si>
  <si>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</si>
  <si>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</si>
  <si>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</si>
  <si>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</si>
  <si>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</si>
  <si>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</si>
  <si>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</si>
  <si>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</si>
  <si>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</si>
  <si>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</si>
  <si>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</si>
  <si>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</si>
  <si>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</si>
  <si>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</si>
  <si>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</si>
  <si>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</si>
  <si>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</si>
  <si>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</si>
  <si>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</si>
  <si>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</si>
  <si>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</si>
  <si>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</si>
  <si>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</si>
  <si>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</si>
  <si>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</si>
  <si>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</si>
  <si>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</si>
  <si>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</si>
  <si>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</si>
  <si>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</si>
  <si>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</si>
  <si>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</si>
  <si>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</si>
  <si>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</si>
  <si>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</si>
  <si>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</si>
  <si>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</si>
  <si>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</si>
  <si>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</si>
  <si>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</si>
  <si>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</si>
  <si>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</si>
  <si>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</si>
  <si>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</si>
  <si>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</si>
  <si>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</si>
  <si>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</si>
  <si>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</si>
  <si>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</si>
  <si>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</si>
  <si>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</si>
  <si>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</si>
  <si>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</si>
  <si>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</si>
  <si>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</si>
  <si>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</si>
  <si>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</si>
  <si>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</si>
  <si>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</si>
  <si>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</si>
  <si>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</si>
  <si>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</si>
  <si>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</si>
  <si>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</si>
  <si>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</si>
  <si>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</si>
  <si>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</si>
  <si>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</si>
  <si>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</si>
  <si>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</si>
  <si>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</si>
  <si>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</si>
  <si>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</si>
  <si>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</si>
  <si>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</si>
  <si>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</si>
  <si>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</si>
  <si>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</si>
  <si>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</si>
  <si>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</si>
  <si>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</si>
  <si>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</si>
  <si>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</si>
  <si>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</si>
  <si>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</si>
  <si>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</si>
  <si>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</si>
  <si>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</si>
  <si>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</si>
  <si>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</si>
  <si>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</si>
  <si>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</si>
  <si>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</si>
  <si>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</si>
  <si>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</si>
  <si>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</si>
  <si>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</si>
  <si>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</si>
  <si>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</si>
  <si>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</si>
  <si>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</si>
  <si>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</si>
  <si>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</si>
  <si>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</si>
  <si>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</si>
  <si>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</si>
  <si>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</si>
  <si>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</si>
  <si>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</si>
  <si>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</si>
  <si>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</si>
  <si>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</si>
  <si>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</si>
  <si>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</si>
  <si>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</si>
  <si>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</si>
  <si>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</si>
  <si>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</si>
  <si>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</si>
  <si>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</si>
  <si>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</si>
  <si>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</si>
  <si>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</si>
  <si>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</si>
  <si>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</si>
  <si>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</si>
  <si>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</si>
  <si>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</si>
  <si>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</si>
  <si>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</si>
  <si>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</si>
  <si>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</si>
  <si>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</si>
  <si>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</si>
  <si>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</si>
  <si>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</si>
  <si>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</si>
  <si>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</si>
  <si>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</si>
  <si>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</si>
  <si>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</si>
  <si>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</si>
  <si>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</si>
  <si>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</si>
  <si>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</si>
  <si>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</si>
  <si>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</si>
  <si>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</si>
  <si>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</si>
  <si>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</si>
  <si>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</si>
  <si>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</si>
  <si>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</si>
  <si>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</si>
  <si>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</si>
  <si>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</si>
  <si>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</si>
  <si>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</si>
  <si>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</si>
  <si>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</si>
  <si>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</si>
  <si>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</si>
  <si>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</si>
  <si>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</si>
  <si>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</si>
  <si>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</si>
  <si>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</si>
  <si>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</si>
  <si>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</si>
  <si>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</si>
  <si>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</si>
  <si>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</si>
  <si>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</si>
  <si>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</si>
  <si>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</si>
  <si>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</si>
  <si>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</si>
  <si>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</si>
  <si>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</si>
  <si>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</si>
  <si>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</si>
  <si>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</si>
  <si>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</si>
  <si>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</si>
  <si>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</si>
  <si>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</si>
  <si>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</si>
  <si>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</si>
  <si>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</si>
  <si>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</si>
  <si>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</si>
  <si>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</si>
  <si>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</si>
  <si>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</si>
  <si>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</si>
  <si>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</si>
  <si>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</si>
  <si>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</si>
  <si>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</si>
  <si>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</si>
  <si>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</si>
  <si>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</si>
  <si>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</si>
  <si>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</si>
  <si>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</si>
  <si>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</si>
  <si>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</si>
  <si>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</si>
  <si>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</si>
  <si>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</si>
  <si>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</si>
  <si>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</si>
  <si>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</si>
  <si>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</si>
  <si>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</si>
  <si>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</si>
  <si>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</si>
  <si>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</si>
  <si>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</si>
  <si>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</si>
  <si>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</si>
  <si>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</si>
  <si>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</si>
  <si>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</si>
  <si>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</si>
  <si>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</si>
  <si>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</si>
  <si>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</si>
  <si>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</si>
  <si>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</si>
  <si>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</si>
  <si>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</si>
  <si>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</si>
  <si>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</si>
  <si>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</si>
  <si>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</si>
  <si>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</si>
  <si>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</si>
  <si>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</si>
  <si>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</si>
  <si>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</si>
  <si>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</si>
  <si>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</si>
  <si>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</si>
  <si>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</si>
  <si>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</si>
  <si>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</si>
  <si>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</si>
  <si>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</si>
  <si>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</si>
  <si>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</si>
  <si>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</si>
  <si>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</si>
  <si>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</si>
  <si>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</si>
  <si>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</si>
  <si>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</si>
  <si>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</si>
  <si>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</si>
  <si>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</si>
  <si>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</si>
  <si>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</si>
  <si>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</si>
  <si>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</si>
  <si>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</si>
  <si>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</si>
  <si>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</si>
  <si>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</si>
  <si>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</si>
  <si>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</si>
  <si>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</si>
  <si>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</si>
  <si>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</si>
  <si>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</si>
  <si>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</si>
  <si>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</si>
  <si>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</si>
  <si>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</si>
  <si>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</si>
  <si>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</si>
  <si>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</si>
  <si>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</si>
  <si>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</si>
  <si>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</si>
  <si>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</si>
  <si>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</si>
  <si>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</si>
  <si>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</si>
  <si>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</si>
  <si>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</si>
  <si>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</si>
  <si>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</si>
  <si>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</si>
  <si>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</si>
  <si>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</si>
  <si>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</si>
  <si>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</si>
  <si>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</si>
  <si>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</si>
  <si>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</si>
  <si>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</si>
  <si>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</si>
  <si>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</si>
  <si>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</si>
  <si>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</si>
  <si>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</si>
  <si>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</si>
  <si>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</si>
  <si>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</si>
  <si>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</si>
  <si>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</si>
  <si>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</si>
  <si>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</si>
  <si>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</si>
  <si>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</si>
  <si>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</si>
  <si>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</si>
  <si>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</si>
  <si>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</si>
  <si>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</si>
  <si>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</si>
  <si>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</si>
  <si>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</si>
  <si>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</si>
  <si>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</si>
  <si>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</si>
  <si>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</si>
  <si>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</si>
  <si>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</si>
  <si>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</si>
  <si>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</si>
  <si>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</si>
  <si>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</si>
  <si>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</si>
  <si>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</si>
  <si>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</si>
  <si>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</si>
  <si>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</si>
  <si>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</si>
  <si>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</si>
  <si>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</si>
  <si>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</si>
  <si>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</si>
  <si>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</si>
  <si>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</si>
  <si>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</si>
  <si>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</si>
  <si>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</si>
  <si>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</si>
  <si>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</si>
  <si>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</si>
  <si>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</si>
  <si>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</si>
  <si>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</si>
  <si>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</si>
  <si>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</si>
  <si>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</si>
  <si>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</si>
  <si>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</si>
  <si>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</si>
  <si>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</si>
  <si>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</si>
  <si>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</si>
  <si>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</si>
  <si>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</si>
  <si>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</si>
  <si>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</si>
  <si>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</si>
  <si>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</si>
  <si>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</si>
  <si>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</si>
  <si>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</si>
  <si>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</si>
  <si>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</si>
  <si>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</si>
  <si>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</si>
  <si>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</si>
  <si>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</si>
  <si>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</si>
  <si>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</si>
  <si>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</si>
  <si>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</si>
  <si>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</si>
  <si>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</si>
  <si>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</si>
  <si>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</si>
  <si>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</si>
  <si>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</si>
  <si>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</si>
  <si>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</si>
  <si>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</si>
  <si>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</si>
  <si>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</si>
  <si>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</si>
  <si>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</si>
  <si>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</si>
  <si>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</si>
  <si>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</si>
  <si>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</si>
  <si>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</si>
  <si>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</si>
  <si>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</si>
  <si>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</si>
  <si>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</si>
  <si>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</si>
  <si>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</si>
  <si>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</si>
  <si>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</si>
  <si>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</si>
  <si>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</si>
  <si>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</si>
  <si>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</si>
  <si>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</si>
  <si>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</si>
  <si>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</si>
  <si>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</si>
  <si>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</si>
  <si>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</si>
  <si>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</si>
  <si>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</si>
  <si>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</si>
  <si>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</si>
  <si>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</si>
  <si>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</si>
  <si>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</si>
  <si>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</si>
  <si>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</si>
  <si>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</si>
  <si>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</si>
  <si>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</si>
  <si>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</si>
  <si>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</si>
  <si>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</si>
  <si>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</si>
  <si>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</si>
  <si>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</si>
  <si>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</si>
  <si>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</si>
  <si>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</si>
  <si>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</si>
  <si>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</si>
  <si>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</si>
  <si>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</si>
  <si>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</si>
  <si>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</si>
  <si>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</si>
  <si>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</si>
  <si>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</si>
  <si>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</si>
  <si>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</si>
  <si>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</si>
  <si>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</si>
  <si>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</si>
  <si>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</si>
  <si>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</si>
  <si>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</si>
  <si>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</si>
  <si>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</si>
  <si>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</si>
  <si>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</si>
  <si>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</si>
  <si>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</si>
  <si>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</si>
  <si>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</si>
  <si>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</si>
  <si>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</si>
  <si>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</si>
  <si>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</si>
  <si>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</si>
  <si>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</si>
  <si>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</si>
  <si>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</si>
  <si>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</si>
  <si>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</si>
  <si>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</si>
  <si>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</si>
  <si>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</si>
  <si>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</si>
  <si>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</si>
  <si>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</si>
  <si>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</si>
  <si>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</si>
  <si>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</si>
  <si>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</si>
  <si>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</si>
  <si>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</si>
  <si>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</si>
  <si>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</si>
  <si>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</si>
  <si>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</si>
  <si>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</si>
  <si>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</si>
  <si>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</si>
  <si>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</si>
  <si>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</si>
  <si>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</si>
  <si>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</si>
  <si>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</si>
  <si>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</si>
  <si>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</si>
  <si>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</si>
  <si>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</si>
  <si>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</si>
  <si>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</si>
  <si>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</si>
  <si>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</si>
  <si>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</si>
  <si>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</si>
  <si>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</si>
  <si>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</si>
  <si>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</si>
  <si>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</si>
  <si>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</si>
  <si>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</si>
  <si>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</si>
  <si>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</si>
  <si>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</si>
  <si>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</si>
  <si>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</si>
  <si>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</si>
  <si>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</si>
  <si>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</si>
  <si>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</si>
  <si>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</si>
  <si>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</si>
  <si>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</si>
  <si>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</si>
  <si>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</si>
  <si>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</si>
  <si>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</si>
  <si>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</si>
  <si>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</si>
  <si>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</si>
  <si>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</si>
  <si>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</si>
  <si>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</si>
  <si>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</si>
  <si>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</si>
  <si>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</si>
  <si>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</si>
  <si>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</si>
  <si>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</si>
  <si>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</si>
  <si>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</si>
  <si>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</si>
  <si>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</si>
  <si>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</si>
  <si>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</si>
  <si>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</si>
  <si>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</si>
  <si>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</si>
  <si>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</si>
  <si>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</si>
  <si>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</si>
  <si>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</si>
  <si>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</si>
  <si>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</si>
  <si>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</si>
  <si>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</si>
  <si>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</si>
  <si>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</si>
  <si>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</si>
  <si>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</si>
  <si>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</si>
  <si>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</si>
  <si>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</si>
  <si>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</si>
  <si>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</si>
  <si>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</si>
  <si>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</si>
  <si>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</si>
  <si>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</si>
  <si>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</si>
  <si>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</si>
  <si>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</si>
  <si>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</si>
  <si>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</si>
  <si>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</si>
  <si>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</si>
  <si>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</si>
  <si>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</si>
  <si>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</si>
  <si>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</si>
  <si>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</si>
  <si>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</si>
  <si>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</si>
  <si>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</si>
  <si>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</si>
  <si>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</si>
  <si>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</si>
  <si>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</si>
  <si>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</si>
  <si>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</si>
  <si>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</si>
  <si>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</si>
  <si>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</si>
  <si>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</si>
  <si>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</si>
  <si>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</si>
  <si>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</si>
  <si>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</si>
  <si>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</si>
  <si>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</si>
  <si>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</si>
  <si>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</si>
  <si>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</si>
  <si>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</si>
  <si>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</si>
  <si>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</si>
  <si>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</si>
  <si>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</si>
  <si>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</si>
  <si>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</si>
  <si>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</si>
  <si>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</si>
  <si>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</si>
  <si>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</si>
  <si>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</si>
  <si>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</si>
  <si>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</si>
  <si>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</si>
  <si>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</si>
  <si>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</si>
  <si>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</si>
  <si>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</si>
  <si>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</si>
  <si>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</si>
  <si>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</si>
  <si>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</si>
  <si>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</si>
  <si>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</si>
  <si>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</si>
  <si>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</si>
  <si>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</si>
  <si>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</si>
  <si>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</si>
  <si>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</si>
  <si>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</si>
  <si>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</si>
  <si>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</si>
  <si>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</si>
  <si>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</si>
  <si>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</si>
  <si>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</si>
  <si>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</si>
  <si>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</si>
  <si>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</si>
  <si>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</si>
  <si>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</si>
  <si>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</si>
  <si>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</si>
  <si>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</si>
  <si>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</si>
  <si>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</si>
  <si>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</si>
  <si>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</si>
  <si>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</si>
  <si>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</si>
  <si>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</si>
  <si>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</si>
  <si>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</si>
  <si>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</si>
  <si>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</si>
  <si>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</si>
  <si>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</si>
  <si>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</si>
  <si>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</si>
  <si>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</si>
  <si>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</si>
  <si>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</si>
  <si>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</si>
  <si>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</si>
  <si>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</si>
  <si>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</si>
  <si>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</si>
  <si>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</si>
  <si>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</si>
  <si>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</si>
  <si>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</si>
  <si>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</si>
  <si>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</si>
  <si>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</si>
  <si>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</si>
  <si>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</si>
  <si>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</si>
  <si>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</si>
  <si>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</si>
  <si>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</si>
  <si>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</si>
  <si>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</si>
  <si>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</si>
  <si>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</si>
  <si>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</si>
  <si>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</si>
  <si>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</si>
  <si>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</si>
  <si>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</si>
  <si>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</si>
  <si>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</si>
  <si>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</si>
  <si>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</si>
  <si>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</si>
  <si>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</si>
  <si>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</si>
  <si>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</si>
  <si>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</si>
  <si>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</si>
  <si>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</si>
  <si>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</si>
  <si>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</si>
  <si>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</si>
  <si>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</si>
  <si>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</si>
  <si>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</si>
  <si>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</si>
  <si>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</si>
  <si>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</si>
  <si>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</si>
  <si>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</si>
  <si>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</si>
  <si>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</si>
  <si>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</si>
  <si>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</si>
  <si>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</si>
  <si>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</si>
  <si>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</si>
  <si>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</si>
  <si>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</si>
  <si>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</si>
  <si>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</si>
  <si>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</si>
  <si>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</si>
  <si>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</si>
  <si>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</si>
  <si>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</si>
  <si>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</si>
  <si>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</si>
  <si>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</si>
  <si>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</si>
  <si>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</si>
  <si>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</si>
  <si>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</si>
  <si>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</si>
  <si>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</si>
  <si>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</si>
  <si>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</si>
  <si>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</si>
  <si>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</si>
  <si>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</si>
  <si>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</si>
  <si>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</si>
  <si>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</si>
  <si>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</si>
  <si>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</si>
  <si>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</si>
  <si>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</si>
  <si>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</si>
  <si>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</si>
  <si>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</si>
  <si>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</si>
  <si>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</si>
  <si>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</si>
  <si>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</si>
  <si>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</si>
  <si>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</si>
  <si>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</si>
  <si>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</si>
  <si>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</si>
  <si>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</si>
  <si>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</si>
  <si>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</si>
  <si>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</si>
  <si>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</si>
  <si>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</si>
  <si>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</si>
  <si>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</si>
  <si>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</si>
  <si>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</si>
  <si>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</si>
  <si>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</si>
  <si>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</si>
  <si>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</si>
  <si>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</si>
  <si>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</si>
  <si>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</si>
  <si>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</si>
  <si>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</si>
  <si>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</si>
  <si>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</si>
  <si>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</si>
  <si>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</si>
  <si>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</si>
  <si>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</si>
  <si>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</si>
  <si>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</si>
  <si>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</si>
  <si>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</si>
  <si>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</si>
  <si>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</si>
  <si>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</si>
  <si>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</si>
  <si>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</si>
  <si>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</si>
  <si>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</si>
  <si>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</si>
  <si>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</si>
  <si>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</si>
  <si>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</si>
  <si>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</si>
  <si>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</si>
  <si>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</si>
  <si>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</si>
  <si>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</si>
  <si>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</si>
  <si>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</si>
  <si>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</si>
  <si>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</si>
  <si>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</si>
  <si>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</si>
  <si>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</si>
  <si>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</si>
  <si>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</si>
  <si>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</si>
  <si>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</si>
  <si>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</si>
  <si>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</si>
  <si>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</si>
  <si>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</si>
  <si>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</si>
  <si>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</si>
  <si>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</si>
  <si>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</si>
  <si>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</si>
  <si>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</si>
  <si>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</si>
  <si>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</si>
  <si>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</si>
  <si>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</si>
  <si>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</si>
  <si>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</si>
  <si>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</si>
  <si>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</si>
  <si>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</si>
  <si>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</si>
  <si>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</si>
  <si>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</si>
  <si>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</si>
  <si>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</si>
  <si>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</si>
  <si>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</si>
  <si>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</si>
  <si>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</si>
  <si>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</si>
  <si>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</si>
  <si>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</si>
  <si>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</si>
  <si>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</si>
  <si>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</si>
  <si>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</si>
  <si>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</si>
  <si>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</si>
  <si>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</si>
  <si>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</si>
  <si>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</si>
  <si>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</si>
  <si>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</si>
  <si>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</si>
  <si>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</si>
  <si>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</si>
  <si>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</si>
  <si>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</si>
  <si>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</si>
  <si>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</si>
  <si>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</si>
  <si>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</si>
  <si>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</si>
  <si>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</si>
  <si>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</si>
  <si>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</si>
  <si>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</si>
  <si>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</si>
  <si>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</si>
  <si>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</si>
  <si>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</si>
  <si>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</si>
  <si>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</si>
  <si>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</si>
  <si>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</si>
  <si>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</si>
  <si>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</si>
  <si>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</si>
  <si>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</si>
  <si>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</si>
  <si>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</si>
  <si>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</si>
  <si>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</si>
  <si>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</si>
  <si>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</si>
  <si>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</si>
  <si>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</si>
  <si>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</si>
  <si>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</si>
  <si>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</si>
  <si>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</si>
  <si>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</si>
  <si>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</si>
  <si>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</si>
  <si>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</si>
  <si>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</si>
  <si>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</si>
  <si>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</si>
  <si>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</si>
  <si>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</si>
  <si>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</si>
  <si>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</si>
  <si>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</si>
  <si>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</si>
  <si>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</si>
  <si>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</si>
  <si>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</si>
  <si>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</si>
  <si>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</si>
  <si>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</si>
  <si>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</si>
  <si>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</si>
  <si>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</si>
  <si>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</si>
  <si>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</si>
  <si>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</si>
  <si>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</si>
  <si>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</si>
  <si>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</si>
  <si>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</si>
  <si>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</si>
  <si>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</si>
  <si>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</si>
  <si>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</si>
  <si>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</si>
  <si>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</si>
  <si>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</si>
  <si>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</si>
  <si>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</si>
  <si>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</si>
  <si>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</si>
  <si>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</si>
  <si>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</si>
  <si>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</si>
  <si>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</si>
  <si>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</si>
  <si>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</si>
  <si>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</si>
  <si>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</si>
  <si>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</si>
  <si>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</si>
  <si>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</si>
  <si>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</si>
  <si>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</si>
  <si>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</si>
  <si>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</si>
  <si>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</si>
  <si>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</si>
  <si>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</si>
  <si>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</si>
  <si>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</si>
  <si>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</si>
  <si>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</si>
  <si>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</si>
  <si>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</si>
  <si>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</si>
  <si>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</si>
  <si>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</si>
  <si>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</si>
  <si>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</si>
  <si>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</si>
  <si>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</si>
  <si>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</si>
  <si>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</si>
  <si>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</si>
  <si>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</si>
  <si>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</si>
  <si>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</si>
  <si>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</si>
  <si>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</si>
  <si>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</si>
  <si>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</si>
  <si>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</si>
  <si>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</si>
  <si>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</si>
  <si>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</si>
  <si>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</si>
  <si>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</si>
  <si>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</si>
  <si>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</si>
  <si>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</si>
  <si>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</si>
  <si>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</si>
  <si>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</si>
  <si>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</si>
  <si>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</si>
  <si>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</si>
  <si>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</si>
  <si>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</si>
  <si>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</si>
  <si>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</si>
  <si>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</si>
  <si>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</si>
  <si>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</si>
  <si>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</si>
  <si>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</si>
  <si>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</si>
  <si>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</si>
  <si>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</si>
  <si>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</si>
  <si>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</si>
  <si>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</si>
  <si>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</si>
  <si>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</si>
  <si>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</si>
  <si>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</si>
  <si>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</si>
  <si>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</si>
  <si>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</si>
  <si>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</si>
  <si>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</si>
  <si>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</si>
  <si>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</si>
  <si>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</si>
  <si>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</si>
  <si>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</si>
  <si>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</si>
  <si>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</si>
  <si>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</si>
  <si>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</si>
  <si>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</si>
  <si>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</si>
  <si>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</si>
  <si>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</si>
  <si>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</si>
  <si>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</si>
  <si>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</si>
  <si>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</si>
  <si>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</si>
  <si>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</si>
  <si>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</si>
  <si>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</si>
  <si>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</si>
  <si>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</si>
  <si>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</si>
  <si>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</si>
  <si>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</si>
  <si>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</si>
  <si>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</si>
  <si>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</si>
  <si>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</si>
  <si>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</si>
  <si>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</si>
  <si>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</si>
  <si>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</si>
  <si>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</si>
  <si>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</si>
  <si>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</si>
  <si>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</si>
  <si>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</si>
  <si>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</si>
  <si>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</si>
  <si>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</si>
  <si>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</si>
  <si>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</si>
  <si>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</si>
  <si>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</si>
  <si>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</si>
  <si>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</si>
  <si>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</si>
  <si>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</si>
  <si>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</si>
  <si>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</si>
  <si>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</si>
  <si>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</si>
  <si>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</si>
  <si>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</si>
  <si>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</si>
  <si>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</si>
  <si>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</si>
  <si>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</si>
  <si>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</si>
  <si>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</si>
  <si>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</si>
  <si>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</si>
  <si>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</si>
  <si>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</si>
  <si>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</si>
  <si>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</si>
  <si>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</si>
  <si>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</si>
  <si>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</si>
  <si>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</si>
  <si>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</si>
  <si>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</si>
  <si>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</si>
  <si>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</si>
  <si>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</si>
  <si>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</si>
  <si>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</si>
  <si>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</si>
  <si>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</si>
  <si>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</si>
  <si>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</si>
  <si>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</si>
  <si>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</si>
  <si>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</si>
  <si>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</si>
  <si>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</si>
  <si>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</si>
  <si>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</si>
  <si>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</si>
  <si>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</si>
  <si>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</si>
  <si>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</si>
  <si>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</si>
  <si>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</si>
  <si>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</si>
  <si>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</si>
  <si>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</si>
  <si>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</si>
  <si>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</si>
  <si>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</si>
  <si>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</si>
  <si>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</si>
  <si>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</si>
  <si>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</si>
  <si>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</si>
  <si>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</si>
  <si>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</si>
  <si>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</si>
  <si>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</si>
  <si>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</si>
  <si>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</si>
  <si>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</si>
  <si>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</si>
  <si>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</si>
  <si>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</si>
  <si>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</si>
  <si>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</si>
  <si>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</si>
  <si>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</si>
  <si>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</si>
  <si>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</si>
  <si>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</si>
  <si>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</si>
  <si>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</si>
  <si>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</si>
  <si>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</si>
  <si>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</si>
  <si>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</si>
  <si>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</si>
  <si>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</si>
  <si>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</si>
  <si>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</si>
  <si>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</si>
  <si>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</si>
  <si>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</si>
  <si>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</si>
  <si>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</si>
  <si>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</si>
  <si>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</si>
  <si>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</si>
  <si>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</si>
  <si>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</si>
  <si>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</si>
  <si>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</si>
  <si>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</si>
  <si>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</si>
  <si>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</si>
  <si>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</si>
  <si>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</si>
  <si>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</si>
  <si>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</si>
  <si>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</si>
  <si>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</si>
  <si>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</si>
  <si>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</si>
  <si>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</si>
  <si>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</si>
  <si>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</si>
  <si>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</si>
  <si>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</si>
  <si>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</si>
  <si>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</si>
  <si>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</si>
  <si>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</si>
  <si>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</si>
  <si>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</si>
  <si>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</si>
  <si>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</si>
  <si>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</si>
  <si>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</si>
  <si>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</si>
  <si>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</si>
  <si>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</si>
  <si>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</si>
  <si>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</si>
  <si>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</si>
  <si>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</si>
  <si>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</si>
  <si>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</si>
  <si>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</si>
  <si>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</si>
  <si>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</si>
  <si>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</si>
  <si>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</si>
  <si>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</si>
  <si>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</si>
  <si>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</si>
  <si>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</si>
  <si>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</si>
  <si>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</si>
  <si>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</si>
  <si>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</si>
  <si>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</si>
  <si>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</si>
  <si>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</si>
  <si>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</si>
  <si>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</si>
  <si>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</si>
  <si>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</si>
  <si>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</si>
  <si>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</si>
  <si>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</si>
  <si>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</si>
  <si>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</si>
  <si>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</si>
  <si>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</si>
  <si>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</si>
  <si>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</si>
  <si>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</si>
  <si>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</si>
  <si>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</si>
  <si>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</si>
  <si>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</si>
  <si>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</si>
  <si>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</si>
  <si>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</si>
  <si>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</si>
  <si>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</si>
  <si>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</si>
  <si>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</si>
  <si>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</si>
  <si>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</si>
  <si>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</si>
  <si>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</si>
  <si>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</si>
  <si>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</si>
  <si>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</si>
  <si>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</si>
  <si>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</si>
  <si>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</si>
  <si>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</si>
  <si>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</si>
  <si>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</si>
  <si>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</si>
  <si>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</si>
  <si>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</si>
  <si>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</si>
  <si>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</si>
  <si>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</si>
  <si>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</si>
  <si>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</si>
  <si>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</si>
  <si>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</si>
  <si>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</si>
  <si>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</si>
  <si>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</si>
  <si>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</si>
  <si>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</si>
  <si>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</si>
  <si>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</si>
  <si>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</si>
  <si>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</si>
  <si>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</si>
  <si>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</si>
  <si>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</si>
  <si>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</si>
  <si>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</si>
  <si>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</si>
  <si>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</si>
  <si>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</si>
  <si>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</si>
  <si>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</si>
  <si>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</si>
  <si>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</si>
  <si>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</si>
  <si>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</si>
  <si>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</si>
  <si>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</si>
  <si>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</si>
  <si>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</si>
  <si>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</si>
  <si>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</si>
  <si>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</si>
  <si>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</si>
  <si>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</si>
  <si>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</si>
  <si>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</si>
  <si>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</si>
  <si>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</si>
  <si>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</si>
  <si>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</si>
  <si>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</si>
  <si>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</si>
  <si>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</si>
  <si>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</si>
  <si>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</si>
  <si>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</si>
  <si>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</si>
  <si>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</si>
  <si>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</si>
  <si>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</si>
  <si>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</si>
  <si>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</si>
  <si>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</si>
  <si>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</si>
  <si>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</si>
  <si>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</si>
  <si>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</si>
  <si>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</si>
  <si>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</si>
  <si>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</si>
  <si>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</si>
  <si>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</si>
  <si>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</si>
  <si>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</si>
  <si>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</si>
  <si>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</si>
  <si>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</si>
  <si>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</si>
  <si>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</si>
  <si>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</si>
  <si>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</si>
  <si>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</si>
  <si>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</si>
  <si>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</si>
  <si>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</si>
  <si>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</si>
  <si>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</si>
  <si>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</si>
  <si>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</si>
  <si>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</si>
  <si>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</si>
  <si>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</si>
  <si>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</si>
  <si>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</si>
  <si>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</si>
  <si>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</si>
  <si>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</si>
  <si>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</si>
  <si>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</si>
  <si>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</si>
  <si>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</si>
  <si>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</si>
  <si>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</si>
  <si>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</si>
  <si>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</si>
  <si>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</si>
  <si>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</si>
  <si>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</si>
  <si>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</si>
  <si>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</si>
  <si>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</si>
  <si>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</si>
  <si>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</si>
  <si>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</si>
  <si>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</si>
  <si>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</si>
  <si>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</si>
  <si>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</si>
  <si>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</si>
  <si>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</si>
  <si>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</si>
  <si>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</si>
  <si>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</si>
  <si>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</si>
  <si>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</si>
  <si>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</si>
  <si>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</si>
  <si>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</si>
  <si>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</si>
  <si>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</si>
  <si>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</si>
  <si>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</si>
  <si>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</si>
  <si>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</si>
  <si>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</si>
  <si>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</si>
  <si>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</si>
  <si>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</si>
  <si>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</si>
  <si>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</si>
  <si>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</si>
  <si>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</si>
  <si>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</si>
  <si>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</si>
  <si>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</si>
  <si>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</si>
  <si>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</si>
  <si>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</si>
  <si>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</si>
  <si>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</si>
  <si>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</si>
  <si>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</si>
  <si>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</si>
  <si>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</si>
  <si>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</si>
  <si>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</si>
  <si>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</si>
  <si>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</si>
  <si>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</si>
  <si>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</si>
  <si>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</si>
  <si>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</si>
  <si>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</si>
  <si>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</si>
  <si>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</si>
  <si>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</si>
  <si>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</si>
  <si>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</si>
  <si>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</si>
  <si>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</si>
  <si>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</si>
  <si>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</si>
  <si>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</si>
  <si>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</si>
  <si>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</si>
  <si>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</si>
  <si>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</si>
  <si>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</si>
  <si>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</si>
  <si>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</si>
  <si>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</si>
  <si>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</si>
  <si>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</si>
  <si>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</si>
  <si>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</si>
  <si>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</si>
  <si>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</si>
  <si>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</si>
  <si>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</si>
  <si>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</si>
  <si>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</si>
  <si>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</si>
  <si>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</si>
  <si>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</si>
  <si>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</si>
  <si>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</si>
  <si>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</si>
  <si>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</si>
  <si>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</si>
  <si>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</si>
  <si>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</si>
  <si>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</si>
  <si>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</si>
  <si>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</si>
  <si>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</si>
  <si>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</si>
  <si>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</si>
  <si>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</si>
  <si>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</si>
  <si>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</si>
  <si>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</si>
  <si>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</si>
  <si>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</si>
  <si>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</si>
  <si>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</si>
  <si>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</si>
  <si>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</si>
  <si>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</si>
  <si>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</si>
  <si>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</si>
  <si>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</si>
  <si>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</si>
  <si>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</si>
  <si>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</si>
  <si>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</si>
  <si>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</si>
  <si>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</si>
  <si>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</si>
  <si>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</si>
  <si>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</si>
  <si>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</si>
  <si>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</si>
  <si>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</si>
  <si>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</si>
  <si>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</si>
  <si>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</si>
  <si>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</si>
  <si>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</si>
  <si>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</si>
  <si>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</si>
  <si>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</si>
  <si>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</si>
  <si>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</si>
  <si>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</si>
  <si>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</si>
  <si>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</si>
  <si>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</si>
  <si>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</si>
  <si>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</si>
  <si>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</si>
  <si>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</si>
  <si>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</si>
  <si>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</si>
  <si>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</si>
  <si>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</si>
  <si>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</si>
  <si>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</si>
  <si>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</si>
  <si>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</si>
  <si>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</si>
  <si>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</si>
  <si>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</si>
  <si>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</si>
  <si>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</si>
  <si>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</si>
  <si>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</si>
  <si>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</si>
  <si>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</si>
  <si>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</si>
  <si>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</si>
  <si>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</si>
  <si>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</si>
  <si>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</si>
  <si>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</si>
  <si>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</si>
  <si>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</si>
  <si>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</si>
  <si>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</si>
  <si>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</si>
  <si>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</si>
  <si>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</si>
  <si>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</si>
  <si>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</si>
  <si>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</si>
  <si>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</si>
  <si>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</si>
  <si>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</si>
  <si>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</si>
  <si>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</si>
  <si>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</si>
  <si>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</si>
  <si>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</si>
  <si>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</si>
  <si>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</si>
  <si>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</si>
  <si>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</si>
  <si>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</si>
  <si>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</si>
  <si>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</si>
  <si>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</si>
  <si>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</si>
  <si>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</si>
  <si>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</si>
  <si>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</si>
  <si>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</si>
  <si>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</si>
  <si>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</si>
  <si>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</si>
  <si>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</si>
  <si>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</si>
  <si>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</si>
  <si>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</si>
  <si>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</si>
  <si>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</si>
  <si>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</si>
  <si>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</si>
  <si>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</si>
  <si>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</si>
  <si>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</si>
  <si>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</si>
  <si>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</si>
  <si>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</si>
  <si>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</si>
  <si>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</si>
  <si>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</si>
  <si>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</si>
  <si>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</si>
  <si>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</si>
  <si>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</si>
  <si>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</si>
  <si>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</si>
  <si>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</si>
  <si>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</si>
  <si>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</si>
  <si>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</si>
  <si>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</si>
  <si>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</si>
  <si>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</si>
  <si>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</si>
  <si>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</si>
  <si>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</si>
  <si>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</si>
  <si>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</si>
  <si>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</si>
  <si>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</si>
  <si>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</si>
  <si>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</si>
  <si>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</si>
  <si>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</si>
  <si>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</si>
  <si>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</si>
  <si>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</si>
  <si>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</si>
  <si>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</si>
  <si>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</si>
  <si>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</si>
  <si>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</si>
  <si>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</si>
  <si>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</si>
  <si>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</si>
  <si>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</si>
  <si>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</si>
  <si>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</si>
  <si>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</si>
  <si>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</si>
  <si>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</si>
  <si>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</si>
  <si>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</si>
  <si>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</si>
  <si>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</si>
  <si>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</si>
  <si>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</si>
  <si>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</si>
  <si>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</si>
  <si>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</si>
  <si>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</si>
  <si>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</si>
  <si>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</si>
  <si>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</si>
  <si>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</si>
  <si>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</si>
  <si>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</si>
  <si>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</si>
  <si>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</si>
  <si>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</si>
  <si>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</si>
  <si>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</si>
  <si>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</si>
  <si>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</si>
  <si>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</si>
  <si>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</si>
  <si>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</si>
  <si>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</si>
  <si>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</si>
  <si>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</si>
  <si>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</si>
  <si>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</si>
  <si>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</si>
  <si>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</si>
  <si>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</si>
  <si>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</si>
  <si>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</si>
  <si>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</si>
  <si>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</si>
  <si>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</si>
  <si>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</si>
  <si>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</si>
  <si>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</si>
  <si>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</si>
  <si>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</si>
  <si>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</si>
  <si>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</si>
  <si>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</si>
  <si>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</si>
  <si>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</si>
  <si>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</si>
  <si>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</si>
  <si>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</si>
  <si>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</si>
  <si>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</si>
  <si>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</si>
  <si>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</si>
  <si>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</si>
  <si>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</si>
  <si>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</si>
  <si>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</si>
  <si>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</si>
  <si>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</si>
  <si>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</si>
  <si>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</si>
  <si>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</si>
  <si>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</si>
  <si>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</si>
  <si>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</si>
  <si>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</si>
  <si>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</si>
  <si>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</si>
  <si>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</si>
  <si>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</si>
  <si>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</si>
  <si>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</si>
  <si>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</si>
  <si>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</si>
  <si>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</si>
  <si>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</si>
  <si>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</si>
  <si>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</si>
  <si>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</si>
  <si>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</si>
  <si>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</si>
  <si>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</si>
  <si>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</si>
  <si>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</si>
  <si>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</si>
  <si>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</si>
  <si>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</si>
  <si>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</si>
  <si>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</si>
  <si>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</si>
  <si>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</si>
  <si>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</si>
  <si>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</si>
  <si>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</si>
  <si>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</si>
  <si>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</si>
  <si>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</si>
  <si>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</si>
  <si>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</si>
  <si>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</si>
  <si>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</si>
  <si>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</si>
  <si>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</si>
  <si>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</si>
  <si>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</si>
  <si>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</si>
  <si>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</si>
  <si>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</si>
  <si>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</si>
  <si>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</si>
  <si>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</si>
  <si>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</si>
  <si>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</si>
  <si>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</si>
  <si>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</si>
  <si>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</si>
  <si>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</si>
  <si>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</si>
  <si>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</si>
  <si>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</si>
  <si>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</si>
  <si>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</si>
  <si>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</si>
  <si>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</si>
  <si>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</si>
  <si>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</si>
  <si>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</si>
  <si>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</si>
  <si>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</si>
  <si>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</si>
  <si>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</si>
  <si>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</si>
  <si>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</si>
  <si>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</si>
  <si>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</si>
  <si>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</si>
  <si>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</si>
  <si>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</si>
  <si>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</si>
  <si>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</si>
  <si>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</si>
  <si>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</si>
  <si>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</si>
  <si>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</si>
  <si>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</si>
  <si>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</si>
  <si>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</si>
  <si>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</si>
  <si>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</si>
  <si>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</si>
  <si>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</si>
  <si>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</si>
  <si>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</si>
  <si>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</si>
  <si>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</si>
  <si>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</si>
  <si>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</si>
  <si>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</si>
  <si>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</si>
  <si>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</si>
  <si>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</si>
  <si>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</si>
  <si>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</si>
  <si>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</si>
  <si>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</si>
  <si>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</si>
  <si>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</si>
  <si>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</si>
  <si>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</si>
  <si>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</si>
  <si>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</si>
  <si>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</si>
  <si>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</si>
  <si>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</si>
  <si>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</si>
  <si>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</si>
  <si>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</si>
  <si>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</si>
  <si>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</si>
  <si>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</si>
  <si>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</si>
  <si>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</si>
  <si>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</si>
  <si>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</si>
  <si>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</si>
  <si>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</si>
  <si>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</si>
  <si>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</si>
  <si>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</si>
  <si>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</si>
  <si>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</si>
  <si>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</si>
  <si>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</si>
  <si>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</si>
  <si>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</si>
  <si>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</si>
  <si>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</si>
  <si>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</si>
  <si>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</si>
  <si>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</si>
  <si>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</si>
  <si>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</si>
  <si>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</si>
  <si>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</si>
  <si>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</si>
  <si>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</si>
  <si>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</si>
  <si>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</si>
  <si>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</si>
  <si>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</si>
  <si>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</si>
  <si>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</si>
  <si>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</si>
  <si>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</si>
  <si>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</si>
  <si>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</si>
  <si>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</si>
  <si>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</si>
  <si>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</si>
  <si>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</si>
  <si>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</si>
  <si>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</si>
  <si>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</si>
  <si>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</si>
  <si>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</si>
  <si>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</si>
  <si>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</si>
  <si>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</si>
  <si>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</si>
  <si>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</si>
  <si>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</si>
  <si>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</si>
  <si>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</si>
  <si>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</si>
  <si>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</si>
  <si>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</si>
  <si>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</si>
  <si>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</si>
  <si>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</si>
  <si>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</si>
  <si>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</si>
  <si>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</si>
  <si>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</si>
  <si>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</si>
  <si>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</si>
  <si>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</si>
  <si>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</si>
  <si>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</si>
  <si>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</si>
  <si>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</si>
  <si>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</si>
  <si>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</si>
  <si>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</si>
  <si>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</si>
  <si>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</si>
  <si>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</si>
  <si>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</si>
  <si>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</si>
  <si>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</si>
  <si>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</si>
  <si>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</si>
  <si>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</si>
  <si>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</si>
  <si>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</si>
  <si>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</si>
  <si>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</si>
  <si>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</si>
  <si>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</si>
  <si>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</si>
  <si>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</si>
  <si>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</si>
  <si>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</si>
  <si>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</si>
  <si>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</si>
  <si>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</si>
  <si>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</si>
  <si>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</si>
  <si>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</si>
  <si>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</si>
  <si>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</si>
  <si>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</si>
  <si>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</si>
  <si>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</si>
  <si>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</si>
  <si>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</si>
  <si>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</si>
  <si>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</si>
  <si>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</si>
  <si>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</si>
  <si>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</si>
  <si>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</si>
  <si>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</si>
  <si>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</si>
  <si>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</si>
  <si>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</si>
  <si>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</si>
  <si>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</si>
  <si>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</si>
  <si>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</si>
  <si>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</si>
  <si>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</si>
  <si>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</si>
  <si>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</si>
  <si>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</si>
  <si>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</si>
  <si>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</si>
  <si>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</si>
  <si>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</si>
  <si>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</si>
  <si>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</si>
  <si>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</si>
  <si>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</si>
  <si>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</si>
  <si>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</si>
  <si>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</si>
  <si>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</si>
  <si>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</si>
  <si>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</si>
  <si>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</si>
  <si>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</si>
  <si>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</si>
  <si>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</si>
  <si>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</si>
  <si>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</si>
  <si>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</si>
  <si>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</si>
  <si>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</si>
  <si>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</si>
  <si>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</si>
  <si>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</si>
  <si>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</si>
  <si>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</si>
  <si>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</si>
  <si>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</si>
  <si>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</si>
  <si>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</si>
  <si>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</si>
  <si>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</si>
  <si>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</si>
  <si>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</si>
  <si>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</si>
  <si>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</si>
  <si>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</si>
  <si>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</si>
  <si>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</si>
  <si>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</si>
  <si>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</si>
  <si>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</si>
  <si>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</si>
  <si>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</si>
  <si>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</si>
  <si>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</si>
  <si>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</si>
  <si>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</si>
  <si>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</si>
  <si>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</si>
  <si>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</si>
  <si>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</si>
  <si>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</si>
  <si>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</si>
  <si>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</si>
  <si>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</si>
  <si>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</si>
  <si>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</si>
  <si>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</si>
  <si>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</si>
  <si>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</si>
  <si>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</si>
  <si>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</si>
  <si>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</si>
  <si>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</si>
  <si>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</si>
  <si>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</si>
  <si>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</si>
  <si>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</si>
  <si>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</si>
  <si>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</si>
  <si>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</si>
  <si>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</si>
  <si>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</si>
  <si>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</si>
  <si>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</si>
  <si>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</si>
  <si>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</si>
  <si>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</si>
  <si>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</si>
  <si>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</si>
  <si>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</si>
  <si>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</si>
  <si>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</si>
  <si>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</si>
  <si>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</si>
  <si>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</si>
  <si>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</si>
  <si>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</si>
  <si>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</si>
  <si>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</si>
  <si>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</si>
  <si>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</si>
  <si>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</si>
  <si>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</si>
  <si>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</si>
  <si>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</si>
  <si>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</si>
  <si>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</si>
  <si>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</si>
  <si>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</si>
  <si>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</si>
  <si>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</si>
  <si>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</si>
  <si>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</si>
  <si>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</si>
  <si>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</si>
  <si>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</si>
  <si>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</si>
  <si>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</si>
  <si>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</si>
  <si>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</si>
  <si>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</si>
  <si>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</si>
  <si>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</si>
  <si>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</si>
  <si>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</si>
  <si>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</si>
  <si>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</si>
  <si>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</si>
  <si>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</si>
  <si>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</si>
  <si>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</si>
  <si>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</si>
  <si>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</si>
  <si>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</si>
  <si>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</si>
  <si>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</si>
  <si>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</si>
  <si>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</si>
  <si>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</si>
  <si>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</si>
  <si>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</si>
  <si>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</si>
  <si>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</si>
  <si>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</si>
  <si>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</si>
  <si>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</si>
  <si>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</si>
  <si>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</si>
  <si>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</si>
  <si>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</si>
  <si>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</si>
  <si>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</si>
  <si>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</si>
  <si>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</si>
  <si>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</si>
  <si>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</si>
  <si>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</si>
  <si>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</si>
  <si>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</si>
  <si>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</si>
  <si>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</si>
  <si>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</si>
  <si>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</si>
  <si>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</si>
  <si>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</si>
  <si>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</si>
  <si>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</si>
  <si>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</si>
  <si>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</si>
  <si>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</si>
  <si>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</si>
  <si>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</si>
  <si>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</si>
  <si>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</si>
  <si>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</si>
  <si>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</si>
  <si>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</si>
  <si>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</si>
  <si>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</si>
  <si>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</si>
  <si>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</si>
  <si>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</si>
  <si>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</si>
  <si>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</si>
  <si>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</si>
  <si>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</si>
  <si>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</si>
  <si>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</si>
  <si>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</si>
  <si>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</si>
  <si>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</si>
  <si>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</si>
  <si>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</si>
  <si>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</si>
  <si>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</si>
  <si>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</si>
  <si>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</si>
  <si>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</si>
  <si>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</si>
  <si>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</si>
  <si>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</si>
  <si>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</si>
  <si>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</si>
  <si>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</si>
  <si>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</si>
  <si>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</si>
  <si>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</si>
  <si>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</si>
  <si>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</si>
  <si>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</si>
  <si>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</si>
  <si>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</si>
  <si>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</si>
  <si>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</si>
  <si>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</si>
  <si>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</si>
  <si>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</si>
  <si>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</si>
  <si>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</si>
  <si>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</si>
  <si>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</si>
  <si>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</si>
  <si>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</si>
  <si>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</si>
  <si>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</si>
  <si>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</si>
  <si>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</si>
  <si>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</si>
  <si>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</si>
  <si>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</si>
  <si>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</si>
  <si>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</si>
  <si>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</si>
  <si>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</si>
  <si>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</si>
  <si>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</si>
  <si>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</si>
  <si>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</si>
  <si>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</si>
  <si>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</si>
  <si>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</si>
  <si>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</si>
  <si>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</si>
  <si>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</si>
  <si>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</si>
  <si>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</si>
  <si>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</si>
  <si>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</si>
  <si>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</si>
  <si>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</si>
  <si>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</si>
  <si>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</si>
  <si>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</si>
  <si>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</si>
  <si>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</si>
  <si>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</si>
  <si>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</si>
  <si>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</si>
  <si>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</si>
  <si>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</si>
  <si>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</si>
  <si>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</si>
  <si>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</si>
  <si>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</si>
  <si>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</si>
  <si>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</si>
  <si>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</si>
  <si>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</si>
  <si>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</si>
  <si>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</si>
  <si>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</si>
  <si>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</si>
  <si>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</si>
  <si>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</si>
  <si>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</si>
  <si>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</si>
  <si>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</si>
  <si>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</si>
  <si>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</si>
  <si>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</si>
  <si>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</si>
  <si>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</si>
  <si>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</si>
  <si>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</si>
  <si>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</si>
  <si>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</si>
  <si>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</si>
  <si>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</si>
  <si>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</si>
  <si>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</si>
  <si>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</si>
  <si>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</si>
  <si>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</si>
  <si>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</si>
  <si>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</si>
  <si>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</si>
  <si>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</si>
  <si>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</si>
  <si>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</si>
  <si>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</si>
  <si>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</si>
  <si>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</si>
  <si>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</si>
  <si>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</si>
  <si>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</si>
  <si>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</si>
  <si>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</si>
  <si>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</si>
  <si>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</si>
  <si>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</si>
  <si>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</si>
  <si>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</si>
  <si>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</si>
  <si>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</si>
  <si>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</si>
  <si>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</si>
  <si>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</si>
  <si>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</si>
  <si>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</si>
  <si>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</si>
  <si>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</si>
  <si>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</si>
  <si>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</si>
  <si>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</si>
  <si>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</si>
  <si>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</si>
  <si>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</si>
  <si>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</si>
  <si>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</si>
  <si>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</si>
  <si>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</si>
  <si>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</si>
  <si>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</si>
  <si>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</si>
  <si>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</si>
  <si>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</si>
  <si>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</si>
  <si>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</si>
  <si>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</si>
  <si>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</si>
  <si>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</si>
  <si>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</si>
  <si>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</si>
  <si>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</si>
  <si>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</si>
  <si>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</si>
  <si>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</si>
  <si>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</si>
  <si>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</si>
  <si>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</si>
  <si>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</si>
  <si>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</si>
  <si>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</si>
  <si>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</si>
  <si>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</si>
  <si>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</si>
  <si>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</si>
  <si>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</si>
  <si>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</si>
  <si>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</si>
  <si>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</si>
  <si>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</si>
  <si>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</si>
  <si>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</si>
  <si>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</si>
  <si>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</si>
  <si>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</si>
  <si>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</si>
  <si>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</si>
  <si>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</si>
  <si>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</si>
  <si>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</si>
  <si>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</si>
  <si>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</si>
  <si>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</si>
  <si>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</si>
  <si>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</si>
  <si>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</si>
  <si>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</si>
  <si>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</si>
  <si>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</si>
  <si>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</si>
  <si>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</si>
  <si>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</si>
  <si>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</si>
  <si>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</si>
  <si>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</si>
  <si>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</si>
  <si>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</si>
  <si>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</si>
  <si>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</si>
  <si>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</si>
  <si>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</si>
  <si>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</si>
  <si>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</si>
  <si>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</si>
  <si>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</si>
  <si>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</si>
  <si>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</si>
  <si>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</si>
  <si>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</si>
  <si>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</si>
  <si>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</si>
  <si>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</si>
  <si>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</si>
  <si>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</si>
  <si>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</si>
  <si>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</si>
  <si>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</si>
  <si>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</si>
  <si>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</si>
  <si>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</si>
  <si>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</si>
  <si>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</si>
  <si>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</si>
  <si>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</si>
  <si>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</si>
  <si>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</si>
  <si>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</si>
  <si>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</si>
  <si>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</si>
  <si>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</si>
  <si>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</si>
  <si>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</si>
  <si>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</si>
  <si>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</si>
  <si>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</si>
  <si>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</si>
  <si>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</si>
  <si>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</si>
  <si>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</si>
  <si>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</si>
  <si>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</si>
  <si>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</si>
  <si>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</si>
  <si>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</si>
  <si>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</si>
  <si>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</si>
  <si>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</si>
  <si>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</si>
  <si>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</si>
  <si>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</si>
  <si>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</si>
  <si>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</si>
  <si>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</si>
  <si>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</si>
  <si>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</si>
  <si>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</si>
  <si>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</si>
  <si>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</si>
  <si>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</si>
  <si>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</si>
  <si>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</si>
  <si>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</si>
  <si>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</si>
  <si>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</si>
  <si>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</si>
  <si>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</si>
  <si>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</si>
  <si>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</si>
  <si>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</si>
  <si>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</si>
  <si>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</si>
  <si>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</si>
  <si>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</si>
  <si>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</si>
  <si>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</si>
  <si>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</si>
  <si>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</si>
  <si>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</si>
  <si>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</si>
  <si>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</si>
  <si>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</si>
  <si>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</si>
  <si>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</si>
  <si>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</si>
  <si>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</si>
  <si>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</si>
  <si>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</si>
  <si>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</si>
  <si>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</si>
  <si>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</si>
  <si>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</si>
  <si>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</si>
  <si>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</si>
  <si>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</si>
  <si>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</si>
  <si>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</si>
  <si>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</si>
  <si>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</si>
  <si>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</si>
  <si>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</si>
  <si>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</si>
  <si>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</si>
  <si>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</si>
  <si>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</si>
  <si>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</si>
  <si>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</si>
  <si>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</si>
  <si>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</si>
  <si>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</si>
  <si>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</si>
  <si>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</si>
  <si>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</si>
  <si>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</si>
  <si>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</si>
  <si>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</si>
  <si>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</si>
  <si>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</si>
  <si>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</si>
  <si>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</si>
  <si>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</si>
  <si>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</si>
  <si>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</si>
  <si>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</si>
  <si>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</si>
  <si>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</si>
  <si>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</si>
  <si>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</si>
  <si>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</si>
  <si>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</si>
  <si>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</si>
  <si>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</si>
  <si>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</si>
  <si>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</si>
  <si>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</si>
  <si>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</si>
  <si>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</si>
  <si>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</si>
  <si>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</si>
  <si>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</si>
  <si>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</si>
  <si>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</si>
  <si>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</si>
  <si>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</si>
  <si>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</si>
  <si>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</si>
  <si>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</si>
  <si>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</si>
  <si>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</si>
  <si>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</si>
  <si>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</si>
  <si>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</si>
  <si>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</si>
  <si>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</si>
  <si>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</si>
  <si>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</si>
  <si>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</si>
  <si>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</si>
  <si>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</si>
  <si>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</si>
  <si>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</si>
  <si>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</si>
  <si>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</si>
  <si>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</si>
  <si>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</si>
  <si>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</si>
  <si>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</si>
  <si>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</si>
  <si>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</si>
  <si>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</si>
  <si>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</si>
  <si>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</si>
  <si>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</si>
  <si>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</si>
  <si>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</si>
  <si>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</si>
  <si>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</si>
  <si>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</si>
  <si>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</si>
  <si>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</si>
  <si>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</si>
  <si>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</si>
  <si>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</si>
  <si>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</si>
  <si>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</si>
  <si>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</si>
  <si>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</si>
  <si>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</si>
  <si>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</si>
  <si>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</si>
  <si>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</si>
  <si>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</si>
  <si>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</si>
  <si>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</si>
  <si>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</si>
  <si>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</si>
  <si>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</si>
  <si>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</si>
  <si>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</si>
  <si>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</si>
  <si>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</si>
  <si>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</si>
  <si>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</si>
  <si>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</si>
  <si>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</si>
  <si>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</si>
  <si>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</si>
  <si>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</si>
  <si>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</si>
  <si>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</si>
  <si>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</si>
  <si>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</si>
  <si>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</si>
  <si>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</si>
  <si>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</si>
  <si>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</si>
  <si>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</si>
  <si>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</si>
  <si>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</si>
  <si>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</si>
  <si>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</si>
  <si>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</si>
  <si>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</si>
  <si>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</si>
  <si>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</si>
  <si>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</si>
  <si>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</si>
  <si>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</si>
  <si>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</si>
  <si>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</si>
  <si>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</si>
  <si>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</si>
  <si>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</si>
  <si>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</si>
  <si>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</si>
  <si>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</si>
  <si>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</si>
  <si>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</si>
  <si>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</si>
  <si>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</si>
  <si>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</si>
  <si>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</si>
  <si>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</si>
  <si>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</si>
  <si>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</si>
  <si>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</si>
  <si>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</si>
  <si>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</si>
  <si>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</si>
  <si>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</si>
  <si>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</si>
  <si>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</si>
  <si>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</si>
  <si>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</si>
  <si>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</si>
  <si>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</si>
  <si>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</si>
  <si>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</si>
  <si>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</si>
  <si>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</si>
  <si>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</si>
  <si>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</si>
  <si>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</si>
  <si>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</si>
  <si>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</si>
  <si>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</si>
  <si>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</si>
  <si>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</si>
  <si>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</si>
  <si>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</si>
  <si>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</si>
  <si>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</si>
  <si>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</si>
  <si>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</si>
  <si>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</si>
  <si>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</si>
  <si>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</si>
  <si>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</si>
  <si>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</si>
  <si>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</si>
  <si>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</si>
  <si>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</si>
  <si>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</si>
  <si>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</si>
  <si>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</si>
  <si>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</si>
  <si>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</si>
  <si>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</si>
  <si>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</si>
  <si>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</si>
  <si>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</si>
  <si>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</si>
  <si>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</si>
  <si>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</si>
  <si>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</si>
  <si>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</si>
  <si>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</si>
  <si>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</si>
  <si>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</si>
  <si>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</si>
  <si>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</si>
  <si>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</si>
  <si>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</si>
  <si>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</si>
  <si>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</si>
  <si>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</si>
  <si>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</si>
  <si>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</si>
  <si>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</si>
  <si>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</si>
  <si>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</si>
  <si>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</si>
  <si>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</si>
  <si>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</si>
  <si>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</si>
  <si>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</si>
  <si>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</si>
  <si>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</si>
  <si>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</si>
  <si>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</si>
  <si>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</si>
  <si>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</si>
  <si>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</si>
  <si>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</si>
  <si>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</si>
  <si>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</si>
  <si>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</si>
  <si>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</si>
  <si>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</si>
  <si>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</si>
  <si>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</si>
  <si>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</si>
  <si>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</si>
  <si>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</si>
  <si>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</si>
  <si>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</si>
  <si>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</si>
  <si>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</si>
  <si>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</si>
  <si>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</si>
  <si>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</si>
  <si>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</si>
  <si>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</si>
  <si>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</si>
  <si>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</si>
  <si>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</si>
  <si>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</si>
  <si>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</si>
  <si>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</si>
  <si>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</si>
  <si>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</si>
  <si>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</si>
  <si>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</si>
  <si>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</si>
  <si>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</si>
  <si>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</si>
  <si>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</si>
  <si>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</si>
  <si>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</si>
  <si>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</si>
  <si>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</si>
  <si>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</si>
  <si>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</si>
  <si>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</si>
  <si>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</si>
  <si>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</si>
  <si>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</si>
  <si>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</si>
  <si>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</si>
  <si>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</si>
  <si>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</si>
  <si>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</si>
  <si>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</si>
  <si>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</si>
  <si>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</si>
  <si>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</si>
  <si>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</si>
  <si>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</si>
  <si>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</si>
  <si>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</si>
  <si>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</si>
  <si>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</si>
  <si>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</si>
  <si>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</si>
  <si>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</si>
  <si>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</si>
  <si>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</si>
  <si>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</si>
  <si>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</si>
  <si>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</si>
  <si>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</si>
  <si>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</si>
  <si>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</si>
  <si>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</si>
  <si>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</si>
  <si>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</si>
  <si>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</si>
  <si>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</si>
  <si>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</si>
  <si>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</si>
  <si>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</si>
  <si>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</si>
  <si>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</si>
  <si>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</si>
  <si>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</si>
  <si>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</si>
  <si>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</si>
  <si>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</si>
  <si>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</si>
  <si>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</si>
  <si>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</si>
  <si>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</si>
  <si>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</si>
  <si>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</si>
  <si>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</si>
  <si>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</si>
  <si>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</si>
  <si>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</si>
  <si>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</si>
  <si>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</si>
  <si>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</si>
  <si>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</si>
  <si>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</si>
  <si>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</si>
  <si>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</si>
  <si>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</si>
  <si>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</si>
  <si>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</si>
  <si>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</si>
  <si>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</si>
  <si>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</si>
  <si>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</si>
  <si>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</si>
  <si>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</si>
  <si>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</si>
  <si>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</si>
  <si>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</si>
  <si>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</si>
  <si>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</si>
  <si>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</si>
  <si>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</si>
  <si>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</si>
  <si>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</si>
  <si>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</si>
  <si>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</si>
  <si>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</si>
  <si>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</si>
  <si>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</si>
  <si>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</si>
  <si>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</si>
  <si>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</si>
  <si>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</si>
  <si>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</si>
  <si>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</si>
  <si>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</si>
  <si>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</si>
  <si>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</si>
  <si>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</si>
  <si>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</si>
  <si>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</si>
  <si>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</si>
  <si>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</si>
  <si>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</si>
  <si>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</si>
  <si>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</si>
  <si>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</si>
  <si>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</si>
  <si>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</si>
  <si>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</si>
  <si>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</si>
  <si>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</si>
  <si>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</si>
  <si>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</si>
  <si>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</si>
  <si>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</si>
  <si>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</si>
  <si>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</si>
  <si>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</si>
  <si>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</si>
  <si>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</si>
  <si>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</si>
  <si>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</si>
  <si>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</si>
  <si>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</si>
  <si>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</si>
  <si>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</si>
  <si>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</si>
  <si>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</si>
  <si>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</si>
  <si>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</si>
  <si>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</si>
  <si>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</si>
  <si>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</si>
  <si>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</si>
  <si>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</si>
  <si>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</si>
  <si>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</si>
  <si>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</si>
  <si>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</si>
  <si>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</si>
  <si>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</si>
  <si>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</si>
  <si>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</si>
  <si>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</si>
  <si>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</si>
  <si>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</si>
  <si>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</si>
  <si>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</si>
  <si>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</si>
  <si>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</si>
  <si>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</si>
  <si>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</si>
  <si>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</si>
  <si>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</si>
  <si>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</si>
  <si>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</si>
  <si>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</si>
  <si>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</si>
  <si>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</si>
  <si>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</si>
  <si>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</si>
  <si>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</si>
  <si>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</si>
  <si>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</si>
  <si>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</si>
  <si>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</si>
  <si>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</si>
  <si>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</si>
  <si>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</si>
  <si>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</si>
  <si>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</si>
  <si>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</si>
  <si>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</si>
  <si>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</si>
  <si>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</si>
  <si>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</si>
  <si>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</si>
  <si>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</si>
  <si>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</si>
  <si>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</si>
  <si>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</si>
  <si>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</si>
  <si>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</si>
  <si>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</si>
  <si>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</si>
  <si>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</si>
  <si>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</si>
  <si>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</si>
  <si>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</si>
  <si>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</si>
  <si>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</si>
  <si>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</si>
  <si>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</si>
  <si>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</si>
  <si>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</si>
  <si>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</si>
  <si>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</si>
  <si>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</si>
  <si>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</si>
  <si>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</si>
  <si>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</si>
  <si>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</si>
  <si>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</si>
  <si>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</si>
  <si>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</si>
  <si>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</si>
  <si>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</si>
  <si>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</si>
  <si>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</si>
  <si>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</si>
  <si>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</si>
  <si>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</si>
  <si>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</si>
  <si>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</si>
  <si>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</si>
  <si>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</si>
  <si>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</si>
  <si>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</si>
  <si>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</si>
  <si>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</si>
  <si>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</si>
  <si>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</si>
  <si>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</si>
  <si>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</si>
  <si>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</si>
  <si>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</si>
  <si>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</si>
  <si>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</si>
  <si>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</si>
  <si>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</si>
  <si>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</si>
  <si>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</si>
  <si>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</si>
  <si>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</si>
  <si>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</si>
  <si>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</si>
  <si>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</si>
  <si>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</si>
  <si>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</si>
  <si>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</si>
  <si>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</si>
  <si>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</si>
  <si>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</si>
  <si>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</si>
  <si>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</si>
  <si>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</si>
  <si>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</si>
  <si>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</si>
  <si>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</si>
  <si>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</si>
  <si>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</si>
  <si>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</si>
  <si>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</si>
  <si>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</si>
  <si>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</si>
  <si>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</si>
  <si>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</si>
  <si>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</si>
  <si>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</si>
  <si>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</si>
  <si>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</si>
  <si>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</si>
  <si>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</si>
  <si>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</si>
  <si>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</si>
  <si>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</si>
  <si>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</si>
  <si>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</si>
  <si>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</si>
  <si>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</si>
  <si>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</si>
  <si>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</si>
  <si>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</si>
  <si>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</si>
  <si>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</si>
  <si>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</si>
  <si>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</si>
  <si>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</si>
  <si>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</si>
  <si>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</si>
  <si>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</si>
  <si>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</si>
  <si>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</si>
  <si>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</si>
  <si>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</si>
  <si>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</si>
  <si>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</si>
  <si>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</si>
  <si>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</si>
  <si>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</si>
  <si>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</si>
  <si>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</si>
  <si>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</si>
  <si>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</si>
  <si>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</si>
  <si>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</si>
  <si>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</si>
  <si>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</si>
  <si>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</si>
  <si>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</si>
  <si>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</si>
  <si>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</si>
  <si>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</si>
  <si>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</si>
  <si>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</si>
  <si>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</si>
  <si>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</si>
  <si>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</si>
  <si>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</si>
  <si>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</si>
  <si>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</si>
  <si>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</si>
  <si>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</si>
  <si>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</si>
  <si>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</si>
  <si>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</si>
  <si>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</si>
  <si>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</si>
  <si>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</si>
  <si>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</si>
  <si>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</si>
  <si>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</si>
  <si>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</si>
  <si>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</si>
  <si>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</si>
  <si>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</si>
  <si>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</si>
  <si>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</si>
  <si>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</si>
  <si>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</si>
  <si>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</si>
  <si>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</si>
  <si>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</si>
  <si>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</si>
  <si>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</si>
  <si>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</si>
  <si>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</si>
  <si>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</si>
  <si>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</si>
  <si>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</si>
  <si>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</si>
  <si>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</si>
  <si>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</si>
  <si>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</si>
  <si>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</si>
  <si>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</si>
  <si>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</si>
  <si>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</si>
  <si>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</si>
  <si>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</si>
  <si>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</si>
  <si>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</si>
  <si>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</si>
  <si>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</si>
  <si>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</si>
  <si>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</si>
  <si>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</si>
  <si>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</si>
  <si>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</si>
  <si>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</si>
  <si>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</si>
  <si>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</si>
  <si>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</si>
  <si>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</si>
  <si>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</si>
  <si>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</si>
  <si>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</si>
  <si>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</si>
  <si>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</si>
  <si>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</si>
  <si>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</si>
  <si>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</si>
  <si>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</si>
  <si>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</si>
  <si>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</si>
  <si>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</si>
  <si>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</si>
  <si>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</si>
  <si>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</si>
  <si>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</si>
  <si>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</si>
  <si>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</si>
  <si>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</si>
  <si>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</si>
  <si>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</si>
  <si>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</si>
  <si>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</si>
  <si>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</si>
  <si>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</si>
  <si>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</si>
  <si>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</si>
  <si>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</si>
  <si>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</si>
  <si>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</si>
  <si>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</si>
  <si>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</si>
  <si>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</si>
  <si>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</si>
  <si>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</si>
  <si>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</si>
  <si>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</si>
  <si>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</si>
  <si>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</si>
  <si>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</si>
  <si>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</si>
  <si>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</si>
  <si>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</si>
  <si>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</si>
  <si>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</si>
  <si>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</si>
  <si>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</si>
  <si>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</si>
  <si>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</si>
  <si>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</si>
  <si>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</si>
  <si>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</si>
  <si>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</si>
  <si>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</si>
  <si>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</si>
  <si>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</si>
  <si>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</si>
  <si>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</si>
  <si>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</si>
  <si>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</si>
  <si>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</si>
  <si>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</si>
  <si>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</si>
  <si>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</si>
  <si>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</si>
  <si>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</si>
  <si>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</si>
  <si>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</si>
  <si>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</si>
  <si>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</si>
  <si>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</si>
  <si>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</si>
  <si>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</si>
  <si>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</si>
  <si>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</si>
  <si>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</si>
  <si>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</si>
  <si>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</si>
  <si>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</si>
  <si>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</si>
  <si>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</si>
  <si>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</si>
  <si>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</si>
  <si>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</si>
  <si>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</si>
  <si>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</si>
  <si>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</si>
  <si>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</si>
  <si>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</si>
  <si>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</si>
  <si>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</si>
  <si>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</si>
  <si>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</si>
  <si>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</si>
  <si>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</si>
  <si>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</si>
  <si>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</si>
  <si>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</si>
  <si>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</si>
  <si>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</si>
  <si>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</si>
  <si>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</si>
  <si>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</si>
  <si>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</si>
  <si>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</si>
  <si>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</si>
  <si>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</si>
  <si>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</si>
  <si>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</si>
  <si>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</si>
  <si>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</si>
  <si>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</si>
  <si>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</si>
  <si>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</si>
  <si>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</si>
  <si>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</si>
  <si>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</si>
  <si>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</si>
  <si>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</si>
  <si>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</si>
  <si>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</si>
  <si>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</si>
  <si>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</si>
  <si>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</si>
  <si>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</si>
  <si>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</si>
  <si>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</si>
  <si>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</si>
  <si>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</si>
  <si>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</si>
  <si>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</si>
  <si>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</si>
  <si>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</si>
  <si>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</si>
  <si>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</si>
  <si>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</si>
  <si>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</si>
  <si>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</si>
  <si>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</si>
  <si>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</si>
  <si>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</si>
  <si>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</si>
  <si>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</si>
  <si>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</si>
  <si>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</si>
  <si>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</si>
  <si>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</si>
  <si>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</si>
  <si>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</si>
  <si>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</si>
  <si>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</si>
  <si>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</si>
  <si>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</si>
  <si>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</si>
  <si>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</si>
  <si>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</si>
  <si>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</si>
  <si>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</si>
  <si>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</si>
  <si>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</si>
  <si>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</si>
  <si>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</si>
  <si>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</si>
  <si>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</si>
  <si>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</si>
  <si>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</si>
  <si>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</si>
  <si>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</si>
  <si>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</si>
  <si>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</si>
  <si>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</si>
  <si>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</si>
  <si>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</si>
  <si>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</si>
  <si>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</si>
  <si>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</si>
  <si>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</si>
  <si>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</si>
  <si>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</si>
  <si>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</si>
  <si>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</si>
  <si>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</si>
  <si>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</si>
  <si>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</si>
  <si>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</si>
  <si>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</si>
  <si>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</si>
  <si>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</si>
  <si>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</si>
  <si>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</si>
  <si>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</si>
  <si>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</si>
  <si>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</si>
  <si>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</si>
  <si>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</si>
  <si>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</si>
  <si>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</si>
  <si>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</si>
  <si>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</si>
  <si>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</si>
  <si>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</si>
  <si>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</si>
  <si>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</si>
  <si>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</si>
  <si>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</si>
  <si>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</si>
  <si>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</si>
  <si>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</si>
  <si>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</si>
  <si>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</si>
  <si>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</si>
  <si>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</si>
  <si>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</si>
  <si>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</si>
  <si>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</si>
  <si>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</si>
  <si>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</si>
  <si>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</si>
  <si>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</si>
  <si>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</si>
  <si>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</si>
  <si>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</si>
  <si>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</si>
  <si>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</si>
  <si>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</si>
  <si>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</si>
  <si>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</si>
  <si>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</si>
  <si>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</si>
  <si>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</si>
  <si>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</si>
  <si>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</si>
  <si>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</si>
  <si>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</si>
  <si>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</si>
  <si>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</si>
  <si>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</si>
  <si>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</si>
  <si>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</si>
  <si>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</si>
  <si>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</si>
  <si>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</si>
  <si>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</si>
  <si>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</si>
  <si>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</si>
  <si>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</si>
  <si>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</si>
  <si>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</si>
  <si>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</si>
  <si>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</si>
  <si>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</si>
  <si>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</si>
  <si>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</si>
  <si>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</si>
  <si>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</si>
  <si>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</si>
  <si>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</si>
  <si>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</si>
  <si>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</si>
  <si>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</si>
  <si>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</si>
  <si>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</si>
  <si>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</si>
  <si>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</si>
  <si>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</si>
  <si>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</si>
  <si>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</si>
  <si>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</si>
  <si>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</si>
  <si>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</si>
  <si>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</si>
  <si>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</si>
  <si>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</si>
  <si>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</si>
  <si>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</si>
  <si>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</si>
  <si>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</si>
  <si>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</si>
  <si>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</si>
  <si>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</si>
  <si>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</si>
  <si>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</si>
  <si>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</si>
  <si>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</si>
  <si>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</si>
  <si>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</si>
  <si>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</si>
  <si>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</si>
  <si>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</si>
  <si>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</si>
  <si>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</si>
  <si>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</si>
  <si>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</si>
  <si>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</si>
  <si>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</si>
  <si>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</si>
  <si>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</si>
  <si>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</si>
  <si>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</si>
  <si>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</si>
  <si>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</si>
  <si>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</si>
  <si>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</si>
  <si>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</si>
  <si>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</si>
  <si>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</si>
  <si>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</si>
  <si>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</si>
  <si>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</si>
  <si>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</si>
  <si>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</si>
  <si>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</si>
  <si>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</si>
  <si>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</si>
  <si>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</si>
  <si>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</si>
  <si>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</si>
  <si>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</si>
  <si>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</si>
  <si>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</si>
  <si>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房屋坐落</t>
  </si>
  <si>
    <t>物业名称</t>
  </si>
  <si>
    <t>产权性质</t>
  </si>
  <si>
    <t>建筑面积</t>
  </si>
  <si>
    <t>房屋用途</t>
  </si>
  <si>
    <t>总层数</t>
  </si>
  <si>
    <t>所在楼层</t>
  </si>
  <si>
    <t>产权年代</t>
  </si>
  <si>
    <t>现场年代</t>
  </si>
  <si>
    <t>成交单价</t>
  </si>
  <si>
    <t>评估单价</t>
  </si>
  <si>
    <t>评估总价</t>
  </si>
  <si>
    <t>估价时点</t>
  </si>
  <si>
    <t>翠林一里17号楼17层1704</t>
  </si>
  <si>
    <t>翠林一里</t>
  </si>
  <si>
    <t>房改房（标准价）</t>
  </si>
  <si>
    <t>住宅</t>
  </si>
  <si>
    <t>翠林一里4号楼18层1806</t>
  </si>
  <si>
    <t>商品房</t>
  </si>
  <si>
    <t>翠林一里14号楼1层1-103</t>
  </si>
  <si>
    <t>房改房（成本价）</t>
  </si>
  <si>
    <t>翠林一里1号楼1505号</t>
  </si>
  <si>
    <t>18（-02）</t>
  </si>
  <si>
    <t>翠林一里13号楼5层3单元501号</t>
  </si>
  <si>
    <t>翠林一里6号楼11层1101号</t>
  </si>
  <si>
    <t>翠林一里15号楼4层401号</t>
  </si>
  <si>
    <t>翠林一里8号楼2层201号</t>
  </si>
  <si>
    <t>翠林一里18号楼4层5-402</t>
  </si>
  <si>
    <t>翠林一里4号楼7层706</t>
  </si>
  <si>
    <t>翠林一里14号楼5单元402号</t>
  </si>
  <si>
    <t>翠林一里6号楼10层1002号</t>
  </si>
  <si>
    <t>翠林一里8号楼5层505号</t>
  </si>
  <si>
    <t>翠林一里6号楼7层708号</t>
  </si>
  <si>
    <t>是</t>
  </si>
  <si>
    <t>地上</t>
  </si>
  <si>
    <t>平层住宅</t>
  </si>
  <si>
    <t>核定资产</t>
  </si>
  <si>
    <t>房地产市场价值</t>
  </si>
  <si>
    <t>北京市</t>
  </si>
  <si>
    <t>自然人</t>
  </si>
  <si>
    <t>划拨</t>
  </si>
  <si>
    <t>城镇住宅用地</t>
  </si>
  <si>
    <t>有</t>
  </si>
  <si>
    <t>与级别开发程度一致</t>
  </si>
  <si>
    <t>正常</t>
  </si>
  <si>
    <t>高楼层</t>
    <phoneticPr fontId="24" type="noConversion"/>
  </si>
  <si>
    <t>中楼层</t>
    <phoneticPr fontId="24" type="noConversion"/>
  </si>
  <si>
    <t>低楼层</t>
    <phoneticPr fontId="24" type="noConversion"/>
  </si>
  <si>
    <t>比较法-住宅</t>
  </si>
  <si>
    <t>收益法 (元)</t>
  </si>
  <si>
    <t>单套模式</t>
  </si>
  <si>
    <t>售价</t>
  </si>
  <si>
    <t>住宅</t>
    <phoneticPr fontId="7" type="noConversion"/>
  </si>
  <si>
    <t>成新度</t>
  </si>
  <si>
    <t>利息：取LPR加浮动点数</t>
  </si>
  <si>
    <t>押一</t>
  </si>
  <si>
    <t>钢混</t>
  </si>
  <si>
    <t>非生产用房</t>
  </si>
  <si>
    <t>否</t>
  </si>
  <si>
    <t>翠林一里17号楼7层705号</t>
  </si>
  <si>
    <t>——</t>
    <phoneticPr fontId="134" type="noConversion"/>
  </si>
  <si>
    <t>右外翠林一里17号楼806</t>
  </si>
  <si>
    <t>自定义容积率</t>
  </si>
  <si>
    <t>翠林一里</t>
    <phoneticPr fontId="3" type="noConversion"/>
  </si>
  <si>
    <t>较好</t>
  </si>
  <si>
    <t>七通</t>
  </si>
  <si>
    <t>西南</t>
  </si>
  <si>
    <t>西南</t>
    <phoneticPr fontId="24" type="noConversion"/>
  </si>
  <si>
    <t>南</t>
  </si>
  <si>
    <t>南</t>
    <phoneticPr fontId="24" type="noConversion"/>
  </si>
  <si>
    <t>高层塔楼</t>
  </si>
  <si>
    <t>高层塔楼</t>
    <phoneticPr fontId="24" type="noConversion"/>
  </si>
  <si>
    <t>钢混</t>
    <phoneticPr fontId="24" type="noConversion"/>
  </si>
  <si>
    <t>普通装修</t>
  </si>
  <si>
    <t>普通装修</t>
    <phoneticPr fontId="24" type="noConversion"/>
  </si>
  <si>
    <t>无物业管理</t>
    <phoneticPr fontId="24" type="noConversion"/>
  </si>
  <si>
    <t>精装修</t>
    <phoneticPr fontId="24" type="noConversion"/>
  </si>
  <si>
    <t>不临65条商业街</t>
  </si>
  <si>
    <t>500-1000米</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</si>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</sst>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6" fillId="0" borderId="0" xfId="0" applyFont="1" applyAlignment="1">
      <alignment horizontal="center" vertical="center" wrapText="1"/>
    </xf>
    <xf numFmtId="0" fontId="95" fillId="0" borderId="0" xfId="0" applyFont="1" applyAlignment="1">
      <alignment horizontal="center" vertical="center" wrapText="1"/>
    </xf>
    <xf numFmtId="31" fontId="95" fillId="0" borderId="0" xfId="0" applyNumberFormat="1" applyFont="1" applyAlignment="1">
      <alignment horizontal="center" vertical="center" wrapText="1"/>
    </xf>
    <xf numFmtId="0" fontId="269" fillId="0" borderId="0" xfId="0" applyFont="1" applyAlignment="1">
      <alignment horizontal="center" vertical="center" wrapText="1"/>
    </xf>
    <xf numFmtId="31" fontId="269" fillId="0" borderId="0" xfId="0" applyNumberFormat="1" applyFont="1" applyAlignment="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0" fontId="270" fillId="0" borderId="0" xfId="0" applyFont="1" applyAlignment="1">
      <alignment horizontal="center" vertical="center" wrapText="1"/>
    </xf>
    <xf numFmtId="31" fontId="270" fillId="0" borderId="0" xfId="0" applyNumberFormat="1" applyFont="1" applyAlignment="1">
      <alignment horizontal="center" vertical="center" wrapText="1"/>
    </xf>
    <xf numFmtId="49" fontId="128" fillId="0" borderId="7" xfId="0" applyNumberFormat="1" applyFont="1" applyFill="1" applyBorder="1" applyAlignment="1" applyProtection="1">
      <alignment horizontal="center" vertical="center" wrapText="1"/>
      <protection locked="0"/>
    </xf>
    <xf numFmtId="0" fontId="95" fillId="5" borderId="0" xfId="0" applyFont="1" applyFill="1" applyAlignment="1">
      <alignment horizontal="center" vertical="center" wrapText="1"/>
    </xf>
    <xf numFmtId="0" fontId="96" fillId="5" borderId="0" xfId="0" applyFont="1" applyFill="1" applyAlignment="1">
      <alignment horizontal="center" vertical="center" wrapText="1"/>
    </xf>
    <xf numFmtId="31" fontId="95" fillId="5" borderId="0" xfId="0" applyNumberFormat="1" applyFont="1" applyFill="1" applyAlignment="1">
      <alignment horizontal="center" vertical="center" wrapText="1"/>
    </xf>
    <xf numFmtId="0" fontId="0" fillId="5" borderId="0" xfId="0" applyFill="1">
      <alignment vertical="center"/>
    </xf>
    <xf numFmtId="0" fontId="269" fillId="5" borderId="0" xfId="0" applyFont="1" applyFill="1" applyAlignment="1">
      <alignment horizontal="center" vertical="center" wrapText="1"/>
    </xf>
    <xf numFmtId="31" fontId="269" fillId="5" borderId="0" xfId="0" applyNumberFormat="1" applyFont="1" applyFill="1" applyAlignment="1">
      <alignment horizontal="center" vertical="center" wrapText="1"/>
    </xf>
    <xf numFmtId="181" fontId="44" fillId="0" borderId="37" xfId="0" applyNumberFormat="1" applyFont="1" applyFill="1" applyBorder="1" applyAlignment="1" applyProtection="1">
      <alignment horizontal="center" vertical="center" wrapText="1"/>
      <protection locked="0"/>
    </xf>
    <xf numFmtId="181" fontId="44" fillId="0" borderId="23" xfId="0" applyNumberFormat="1" applyFont="1" applyFill="1" applyBorder="1" applyAlignment="1" applyProtection="1">
      <alignment horizontal="center" vertical="center" wrapText="1"/>
      <protection locked="0"/>
    </xf>
    <xf numFmtId="181" fontId="44" fillId="0" borderId="3"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activeX/activeX10.xml><?xml version="1.0" encoding="utf-8"?>
<ax:ocx xmlns:ax="http://schemas.microsoft.com/office/2006/activeX" xmlns:r="http://schemas.openxmlformats.org/officeDocument/2006/relationships" ax:classid="{5512D116-5CC6-11CF-8D67-00AA00BDCE1D}" ax:persistence="persistStream" r:id="rId1"/>
</file>

<file path=xl/activeX/activeX11.xml><?xml version="1.0" encoding="utf-8"?>
<ax:ocx xmlns:ax="http://schemas.microsoft.com/office/2006/activeX" xmlns:r="http://schemas.openxmlformats.org/officeDocument/2006/relationships" ax:classid="{5512D116-5CC6-11CF-8D67-00AA00BDCE1D}" ax:persistence="persistStream" r:id="rId1"/>
</file>

<file path=xl/activeX/activeX12.xml><?xml version="1.0" encoding="utf-8"?>
<ax:ocx xmlns:ax="http://schemas.microsoft.com/office/2006/activeX" xmlns:r="http://schemas.openxmlformats.org/officeDocument/2006/relationships" ax:classid="{5512D116-5CC6-11CF-8D67-00AA00BDCE1D}" ax:persistence="persistStream" r:id="rId1"/>
</file>

<file path=xl/activeX/activeX13.xml><?xml version="1.0" encoding="utf-8"?>
<ax:ocx xmlns:ax="http://schemas.microsoft.com/office/2006/activeX" xmlns:r="http://schemas.openxmlformats.org/officeDocument/2006/relationships" ax:classid="{5512D116-5CC6-11CF-8D67-00AA00BDCE1D}" ax:persistence="persistStream" r:id="rId1"/>
</file>

<file path=xl/activeX/activeX14.xml><?xml version="1.0" encoding="utf-8"?>
<ax:ocx xmlns:ax="http://schemas.microsoft.com/office/2006/activeX" xmlns:r="http://schemas.openxmlformats.org/officeDocument/2006/relationships" ax:classid="{5512D116-5CC6-11CF-8D67-00AA00BDCE1D}" ax:persistence="persistStream" r:id="rId1"/>
</file>

<file path=xl/activeX/activeX15.xml><?xml version="1.0" encoding="utf-8"?>
<ax:ocx xmlns:ax="http://schemas.microsoft.com/office/2006/activeX" xmlns:r="http://schemas.openxmlformats.org/officeDocument/2006/relationships" ax:classid="{5512D11C-5CC6-11CF-8D67-00AA00BDCE1D}" ax:persistence="persistStream" r:id="rId1"/>
</file>

<file path=xl/activeX/activeX16.xml><?xml version="1.0" encoding="utf-8"?>
<ax:ocx xmlns:ax="http://schemas.microsoft.com/office/2006/activeX" xmlns:r="http://schemas.openxmlformats.org/officeDocument/2006/relationships" ax:classid="{5512D11A-5CC6-11CF-8D67-00AA00BDCE1D}" ax:persistence="persistStream" r:id="rId1"/>
</file>

<file path=xl/activeX/activeX17.xml><?xml version="1.0" encoding="utf-8"?>
<ax:ocx xmlns:ax="http://schemas.microsoft.com/office/2006/activeX" xmlns:r="http://schemas.openxmlformats.org/officeDocument/2006/relationships" ax:classid="{5512D11A-5CC6-11CF-8D67-00AA00BDCE1D}" ax:persistence="persistStream" r:id="rId1"/>
</file>

<file path=xl/activeX/activeX18.xml><?xml version="1.0" encoding="utf-8"?>
<ax:ocx xmlns:ax="http://schemas.microsoft.com/office/2006/activeX" xmlns:r="http://schemas.openxmlformats.org/officeDocument/2006/relationships" ax:classid="{5512D11A-5CC6-11CF-8D67-00AA00BDCE1D}" ax:persistence="persistStream" r:id="rId1"/>
</file>

<file path=xl/activeX/activeX19.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6-5CC6-11CF-8D67-00AA00BDCE1D}" ax:persistence="persistStream" r:id="rId1"/>
</file>

<file path=xl/activeX/activeX20.xml><?xml version="1.0" encoding="utf-8"?>
<ax:ocx xmlns:ax="http://schemas.microsoft.com/office/2006/activeX" xmlns:r="http://schemas.openxmlformats.org/officeDocument/2006/relationships" ax:classid="{5512D11A-5CC6-11CF-8D67-00AA00BDCE1D}" ax:persistence="persistStream" r:id="rId1"/>
</file>

<file path=xl/activeX/activeX21.xml><?xml version="1.0" encoding="utf-8"?>
<ax:ocx xmlns:ax="http://schemas.microsoft.com/office/2006/activeX" xmlns:r="http://schemas.openxmlformats.org/officeDocument/2006/relationships" ax:classid="{5512D11A-5CC6-11CF-8D67-00AA00BDCE1D}" ax:persistence="persistStream" r:id="rId1"/>
</file>

<file path=xl/activeX/activeX22.xml><?xml version="1.0" encoding="utf-8"?>
<ax:ocx xmlns:ax="http://schemas.microsoft.com/office/2006/activeX" xmlns:r="http://schemas.openxmlformats.org/officeDocument/2006/relationships" ax:classid="{5512D11A-5CC6-11CF-8D67-00AA00BDCE1D}" ax:persistence="persistStream" r:id="rId1"/>
</file>

<file path=xl/activeX/activeX23.xml><?xml version="1.0" encoding="utf-8"?>
<ax:ocx xmlns:ax="http://schemas.microsoft.com/office/2006/activeX" xmlns:r="http://schemas.openxmlformats.org/officeDocument/2006/relationships" ax:classid="{5512D11A-5CC6-11CF-8D67-00AA00BDCE1D}" ax:persistence="persistStream" r:id="rId1"/>
</file>

<file path=xl/activeX/activeX24.xml><?xml version="1.0" encoding="utf-8"?>
<ax:ocx xmlns:ax="http://schemas.microsoft.com/office/2006/activeX" xmlns:r="http://schemas.openxmlformats.org/officeDocument/2006/relationships" ax:classid="{5512D11A-5CC6-11CF-8D67-00AA00BDCE1D}" ax:persistence="persistStream" r:id="rId1"/>
</file>

<file path=xl/activeX/activeX25.xml><?xml version="1.0" encoding="utf-8"?>
<ax:ocx xmlns:ax="http://schemas.microsoft.com/office/2006/activeX" xmlns:r="http://schemas.openxmlformats.org/officeDocument/2006/relationships" ax:classid="{5512D11A-5CC6-11CF-8D67-00AA00BDCE1D}" ax:persistence="persistStream" r:id="rId1"/>
</file>

<file path=xl/activeX/activeX26.xml><?xml version="1.0" encoding="utf-8"?>
<ax:ocx xmlns:ax="http://schemas.microsoft.com/office/2006/activeX" xmlns:r="http://schemas.openxmlformats.org/officeDocument/2006/relationships" ax:classid="{5512D11A-5CC6-11CF-8D67-00AA00BDCE1D}" ax:persistence="persistStream" r:id="rId1"/>
</file>

<file path=xl/activeX/activeX27.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6-5CC6-11CF-8D67-00AA00BDCE1D}" ax:persistence="persistStream" r:id="rId1"/>
</file>

<file path=xl/activeX/activeX4.xml><?xml version="1.0" encoding="utf-8"?>
<ax:ocx xmlns:ax="http://schemas.microsoft.com/office/2006/activeX" xmlns:r="http://schemas.openxmlformats.org/officeDocument/2006/relationships" ax:classid="{5512D116-5CC6-11CF-8D67-00AA00BDCE1D}" ax:persistence="persistStream" r:id="rId1"/>
</file>

<file path=xl/activeX/activeX5.xml><?xml version="1.0" encoding="utf-8"?>
<ax:ocx xmlns:ax="http://schemas.microsoft.com/office/2006/activeX" xmlns:r="http://schemas.openxmlformats.org/officeDocument/2006/relationships" ax:classid="{5512D116-5CC6-11CF-8D67-00AA00BDCE1D}" ax:persistence="persistStream" r:id="rId1"/>
</file>

<file path=xl/activeX/activeX6.xml><?xml version="1.0" encoding="utf-8"?>
<ax:ocx xmlns:ax="http://schemas.microsoft.com/office/2006/activeX" xmlns:r="http://schemas.openxmlformats.org/officeDocument/2006/relationships" ax:classid="{5512D116-5CC6-11CF-8D67-00AA00BDCE1D}" ax:persistence="persistStream" r:id="rId1"/>
</file>

<file path=xl/activeX/activeX7.xml><?xml version="1.0" encoding="utf-8"?>
<ax:ocx xmlns:ax="http://schemas.microsoft.com/office/2006/activeX" xmlns:r="http://schemas.openxmlformats.org/officeDocument/2006/relationships" ax:classid="{5512D116-5CC6-11CF-8D67-00AA00BDCE1D}" ax:persistence="persistStream" r:id="rId1"/>
</file>

<file path=xl/activeX/activeX8.xml><?xml version="1.0" encoding="utf-8"?>
<ax:ocx xmlns:ax="http://schemas.microsoft.com/office/2006/activeX" xmlns:r="http://schemas.openxmlformats.org/officeDocument/2006/relationships" ax:classid="{5512D116-5CC6-11CF-8D67-00AA00BDCE1D}" ax:persistence="persistStream" r:id="rId1"/>
</file>

<file path=xl/activeX/activeX9.xml><?xml version="1.0" encoding="utf-8"?>
<ax:ocx xmlns:ax="http://schemas.microsoft.com/office/2006/activeX" xmlns:r="http://schemas.openxmlformats.org/officeDocument/2006/relationships" ax:classid="{5512D116-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1" name="Control 1" hidden="1">
              <a:extLst>
                <a:ext uri="{63B3BB69-23CF-44E3-9099-C40C66FF867C}">
                  <a14:compatExt spid="_x0000_s112641"/>
                </a:ext>
                <a:ext uri="{FF2B5EF4-FFF2-40B4-BE49-F238E27FC236}">
                  <a16:creationId xmlns:a16="http://schemas.microsoft.com/office/drawing/2014/main" id="{00000000-0008-0000-2D00-000001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2" name="Control 2" hidden="1">
              <a:extLst>
                <a:ext uri="{63B3BB69-23CF-44E3-9099-C40C66FF867C}">
                  <a14:compatExt spid="_x0000_s112642"/>
                </a:ext>
                <a:ext uri="{FF2B5EF4-FFF2-40B4-BE49-F238E27FC236}">
                  <a16:creationId xmlns:a16="http://schemas.microsoft.com/office/drawing/2014/main" id="{00000000-0008-0000-2D00-000002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3" name="Control 3" hidden="1">
              <a:extLst>
                <a:ext uri="{63B3BB69-23CF-44E3-9099-C40C66FF867C}">
                  <a14:compatExt spid="_x0000_s112643"/>
                </a:ext>
                <a:ext uri="{FF2B5EF4-FFF2-40B4-BE49-F238E27FC236}">
                  <a16:creationId xmlns:a16="http://schemas.microsoft.com/office/drawing/2014/main" id="{00000000-0008-0000-2D00-000003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171450</xdr:colOff>
          <xdr:row>1</xdr:row>
          <xdr:rowOff>57150</xdr:rowOff>
        </xdr:to>
        <xdr:sp macro="" textlink="">
          <xdr:nvSpPr>
            <xdr:cNvPr id="112644" name="Control 4" hidden="1">
              <a:extLst>
                <a:ext uri="{63B3BB69-23CF-44E3-9099-C40C66FF867C}">
                  <a14:compatExt spid="_x0000_s112644"/>
                </a:ext>
                <a:ext uri="{FF2B5EF4-FFF2-40B4-BE49-F238E27FC236}">
                  <a16:creationId xmlns:a16="http://schemas.microsoft.com/office/drawing/2014/main" id="{00000000-0008-0000-2D00-000004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5" name="Control 5" hidden="1">
              <a:extLst>
                <a:ext uri="{63B3BB69-23CF-44E3-9099-C40C66FF867C}">
                  <a14:compatExt spid="_x0000_s112645"/>
                </a:ext>
                <a:ext uri="{FF2B5EF4-FFF2-40B4-BE49-F238E27FC236}">
                  <a16:creationId xmlns:a16="http://schemas.microsoft.com/office/drawing/2014/main" id="{00000000-0008-0000-2D00-000005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6" name="Control 6" hidden="1">
              <a:extLst>
                <a:ext uri="{63B3BB69-23CF-44E3-9099-C40C66FF867C}">
                  <a14:compatExt spid="_x0000_s112646"/>
                </a:ext>
                <a:ext uri="{FF2B5EF4-FFF2-40B4-BE49-F238E27FC236}">
                  <a16:creationId xmlns:a16="http://schemas.microsoft.com/office/drawing/2014/main" id="{00000000-0008-0000-2D00-000006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7" name="Control 7" hidden="1">
              <a:extLst>
                <a:ext uri="{63B3BB69-23CF-44E3-9099-C40C66FF867C}">
                  <a14:compatExt spid="_x0000_s112647"/>
                </a:ext>
                <a:ext uri="{FF2B5EF4-FFF2-40B4-BE49-F238E27FC236}">
                  <a16:creationId xmlns:a16="http://schemas.microsoft.com/office/drawing/2014/main" id="{00000000-0008-0000-2D00-000007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171450</xdr:colOff>
          <xdr:row>1</xdr:row>
          <xdr:rowOff>57150</xdr:rowOff>
        </xdr:to>
        <xdr:sp macro="" textlink="">
          <xdr:nvSpPr>
            <xdr:cNvPr id="112648" name="Control 8" hidden="1">
              <a:extLst>
                <a:ext uri="{63B3BB69-23CF-44E3-9099-C40C66FF867C}">
                  <a14:compatExt spid="_x0000_s112648"/>
                </a:ext>
                <a:ext uri="{FF2B5EF4-FFF2-40B4-BE49-F238E27FC236}">
                  <a16:creationId xmlns:a16="http://schemas.microsoft.com/office/drawing/2014/main" id="{00000000-0008-0000-2D00-000008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9" name="Control 9" hidden="1">
              <a:extLst>
                <a:ext uri="{63B3BB69-23CF-44E3-9099-C40C66FF867C}">
                  <a14:compatExt spid="_x0000_s112649"/>
                </a:ext>
                <a:ext uri="{FF2B5EF4-FFF2-40B4-BE49-F238E27FC236}">
                  <a16:creationId xmlns:a16="http://schemas.microsoft.com/office/drawing/2014/main" id="{00000000-0008-0000-2D00-000009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50" name="Control 10" hidden="1">
              <a:extLst>
                <a:ext uri="{63B3BB69-23CF-44E3-9099-C40C66FF867C}">
                  <a14:compatExt spid="_x0000_s112650"/>
                </a:ext>
                <a:ext uri="{FF2B5EF4-FFF2-40B4-BE49-F238E27FC236}">
                  <a16:creationId xmlns:a16="http://schemas.microsoft.com/office/drawing/2014/main" id="{00000000-0008-0000-2D00-00000A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51" name="Control 11" hidden="1">
              <a:extLst>
                <a:ext uri="{63B3BB69-23CF-44E3-9099-C40C66FF867C}">
                  <a14:compatExt spid="_x0000_s112651"/>
                </a:ext>
                <a:ext uri="{FF2B5EF4-FFF2-40B4-BE49-F238E27FC236}">
                  <a16:creationId xmlns:a16="http://schemas.microsoft.com/office/drawing/2014/main" id="{00000000-0008-0000-2D00-00000B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171450</xdr:colOff>
          <xdr:row>1</xdr:row>
          <xdr:rowOff>57150</xdr:rowOff>
        </xdr:to>
        <xdr:sp macro="" textlink="">
          <xdr:nvSpPr>
            <xdr:cNvPr id="112652" name="Control 12" hidden="1">
              <a:extLst>
                <a:ext uri="{63B3BB69-23CF-44E3-9099-C40C66FF867C}">
                  <a14:compatExt spid="_x0000_s112652"/>
                </a:ext>
                <a:ext uri="{FF2B5EF4-FFF2-40B4-BE49-F238E27FC236}">
                  <a16:creationId xmlns:a16="http://schemas.microsoft.com/office/drawing/2014/main" id="{00000000-0008-0000-2D00-00000C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53" name="Control 13" hidden="1">
              <a:extLst>
                <a:ext uri="{63B3BB69-23CF-44E3-9099-C40C66FF867C}">
                  <a14:compatExt spid="_x0000_s112653"/>
                </a:ext>
                <a:ext uri="{FF2B5EF4-FFF2-40B4-BE49-F238E27FC236}">
                  <a16:creationId xmlns:a16="http://schemas.microsoft.com/office/drawing/2014/main" id="{00000000-0008-0000-2D00-00000D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0</xdr:col>
          <xdr:colOff>257175</xdr:colOff>
          <xdr:row>4</xdr:row>
          <xdr:rowOff>238125</xdr:rowOff>
        </xdr:to>
        <xdr:sp macro="" textlink="">
          <xdr:nvSpPr>
            <xdr:cNvPr id="112654" name="Control 14" hidden="1">
              <a:extLst>
                <a:ext uri="{63B3BB69-23CF-44E3-9099-C40C66FF867C}">
                  <a14:compatExt spid="_x0000_s112654"/>
                </a:ext>
                <a:ext uri="{FF2B5EF4-FFF2-40B4-BE49-F238E27FC236}">
                  <a16:creationId xmlns:a16="http://schemas.microsoft.com/office/drawing/2014/main" id="{00000000-0008-0000-2D00-00000E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5</xdr:row>
          <xdr:rowOff>238125</xdr:rowOff>
        </xdr:to>
        <xdr:sp macro="" textlink="">
          <xdr:nvSpPr>
            <xdr:cNvPr id="112655" name="Control 15" hidden="1">
              <a:extLst>
                <a:ext uri="{63B3BB69-23CF-44E3-9099-C40C66FF867C}">
                  <a14:compatExt spid="_x0000_s112655"/>
                </a:ext>
                <a:ext uri="{FF2B5EF4-FFF2-40B4-BE49-F238E27FC236}">
                  <a16:creationId xmlns:a16="http://schemas.microsoft.com/office/drawing/2014/main" id="{00000000-0008-0000-2D00-00000F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257175</xdr:colOff>
          <xdr:row>6</xdr:row>
          <xdr:rowOff>238125</xdr:rowOff>
        </xdr:to>
        <xdr:sp macro="" textlink="">
          <xdr:nvSpPr>
            <xdr:cNvPr id="112656" name="Control 16" hidden="1">
              <a:extLst>
                <a:ext uri="{63B3BB69-23CF-44E3-9099-C40C66FF867C}">
                  <a14:compatExt spid="_x0000_s112656"/>
                </a:ext>
                <a:ext uri="{FF2B5EF4-FFF2-40B4-BE49-F238E27FC236}">
                  <a16:creationId xmlns:a16="http://schemas.microsoft.com/office/drawing/2014/main" id="{00000000-0008-0000-2D00-000010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0</xdr:col>
          <xdr:colOff>257175</xdr:colOff>
          <xdr:row>7</xdr:row>
          <xdr:rowOff>238125</xdr:rowOff>
        </xdr:to>
        <xdr:sp macro="" textlink="">
          <xdr:nvSpPr>
            <xdr:cNvPr id="112657" name="Control 17" hidden="1">
              <a:extLst>
                <a:ext uri="{63B3BB69-23CF-44E3-9099-C40C66FF867C}">
                  <a14:compatExt spid="_x0000_s112657"/>
                </a:ext>
                <a:ext uri="{FF2B5EF4-FFF2-40B4-BE49-F238E27FC236}">
                  <a16:creationId xmlns:a16="http://schemas.microsoft.com/office/drawing/2014/main" id="{00000000-0008-0000-2D00-000011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0</xdr:col>
          <xdr:colOff>257175</xdr:colOff>
          <xdr:row>8</xdr:row>
          <xdr:rowOff>238125</xdr:rowOff>
        </xdr:to>
        <xdr:sp macro="" textlink="">
          <xdr:nvSpPr>
            <xdr:cNvPr id="112658" name="Control 18" hidden="1">
              <a:extLst>
                <a:ext uri="{63B3BB69-23CF-44E3-9099-C40C66FF867C}">
                  <a14:compatExt spid="_x0000_s112658"/>
                </a:ext>
                <a:ext uri="{FF2B5EF4-FFF2-40B4-BE49-F238E27FC236}">
                  <a16:creationId xmlns:a16="http://schemas.microsoft.com/office/drawing/2014/main" id="{00000000-0008-0000-2D00-000012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0</xdr:col>
          <xdr:colOff>257175</xdr:colOff>
          <xdr:row>9</xdr:row>
          <xdr:rowOff>238125</xdr:rowOff>
        </xdr:to>
        <xdr:sp macro="" textlink="">
          <xdr:nvSpPr>
            <xdr:cNvPr id="112659" name="Control 19" hidden="1">
              <a:extLst>
                <a:ext uri="{63B3BB69-23CF-44E3-9099-C40C66FF867C}">
                  <a14:compatExt spid="_x0000_s112659"/>
                </a:ext>
                <a:ext uri="{FF2B5EF4-FFF2-40B4-BE49-F238E27FC236}">
                  <a16:creationId xmlns:a16="http://schemas.microsoft.com/office/drawing/2014/main" id="{00000000-0008-0000-2D00-000013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0</xdr:col>
          <xdr:colOff>257175</xdr:colOff>
          <xdr:row>10</xdr:row>
          <xdr:rowOff>238125</xdr:rowOff>
        </xdr:to>
        <xdr:sp macro="" textlink="">
          <xdr:nvSpPr>
            <xdr:cNvPr id="112660" name="Control 20" hidden="1">
              <a:extLst>
                <a:ext uri="{63B3BB69-23CF-44E3-9099-C40C66FF867C}">
                  <a14:compatExt spid="_x0000_s112660"/>
                </a:ext>
                <a:ext uri="{FF2B5EF4-FFF2-40B4-BE49-F238E27FC236}">
                  <a16:creationId xmlns:a16="http://schemas.microsoft.com/office/drawing/2014/main" id="{00000000-0008-0000-2D00-000014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0</xdr:col>
          <xdr:colOff>257175</xdr:colOff>
          <xdr:row>11</xdr:row>
          <xdr:rowOff>238125</xdr:rowOff>
        </xdr:to>
        <xdr:sp macro="" textlink="">
          <xdr:nvSpPr>
            <xdr:cNvPr id="112661" name="Control 21" hidden="1">
              <a:extLst>
                <a:ext uri="{63B3BB69-23CF-44E3-9099-C40C66FF867C}">
                  <a14:compatExt spid="_x0000_s112661"/>
                </a:ext>
                <a:ext uri="{FF2B5EF4-FFF2-40B4-BE49-F238E27FC236}">
                  <a16:creationId xmlns:a16="http://schemas.microsoft.com/office/drawing/2014/main" id="{00000000-0008-0000-2D00-000015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0</xdr:col>
          <xdr:colOff>257175</xdr:colOff>
          <xdr:row>12</xdr:row>
          <xdr:rowOff>238125</xdr:rowOff>
        </xdr:to>
        <xdr:sp macro="" textlink="">
          <xdr:nvSpPr>
            <xdr:cNvPr id="112662" name="Control 22" hidden="1">
              <a:extLst>
                <a:ext uri="{63B3BB69-23CF-44E3-9099-C40C66FF867C}">
                  <a14:compatExt spid="_x0000_s112662"/>
                </a:ext>
                <a:ext uri="{FF2B5EF4-FFF2-40B4-BE49-F238E27FC236}">
                  <a16:creationId xmlns:a16="http://schemas.microsoft.com/office/drawing/2014/main" id="{00000000-0008-0000-2D00-000016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257175</xdr:colOff>
          <xdr:row>13</xdr:row>
          <xdr:rowOff>238125</xdr:rowOff>
        </xdr:to>
        <xdr:sp macro="" textlink="">
          <xdr:nvSpPr>
            <xdr:cNvPr id="112663" name="Control 23" hidden="1">
              <a:extLst>
                <a:ext uri="{63B3BB69-23CF-44E3-9099-C40C66FF867C}">
                  <a14:compatExt spid="_x0000_s112663"/>
                </a:ext>
                <a:ext uri="{FF2B5EF4-FFF2-40B4-BE49-F238E27FC236}">
                  <a16:creationId xmlns:a16="http://schemas.microsoft.com/office/drawing/2014/main" id="{00000000-0008-0000-2D00-000017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0</xdr:col>
          <xdr:colOff>257175</xdr:colOff>
          <xdr:row>14</xdr:row>
          <xdr:rowOff>238125</xdr:rowOff>
        </xdr:to>
        <xdr:sp macro="" textlink="">
          <xdr:nvSpPr>
            <xdr:cNvPr id="112664" name="Control 24" hidden="1">
              <a:extLst>
                <a:ext uri="{63B3BB69-23CF-44E3-9099-C40C66FF867C}">
                  <a14:compatExt spid="_x0000_s112664"/>
                </a:ext>
                <a:ext uri="{FF2B5EF4-FFF2-40B4-BE49-F238E27FC236}">
                  <a16:creationId xmlns:a16="http://schemas.microsoft.com/office/drawing/2014/main" id="{00000000-0008-0000-2D00-000018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0</xdr:col>
          <xdr:colOff>257175</xdr:colOff>
          <xdr:row>15</xdr:row>
          <xdr:rowOff>238125</xdr:rowOff>
        </xdr:to>
        <xdr:sp macro="" textlink="">
          <xdr:nvSpPr>
            <xdr:cNvPr id="112665" name="Control 25" hidden="1">
              <a:extLst>
                <a:ext uri="{63B3BB69-23CF-44E3-9099-C40C66FF867C}">
                  <a14:compatExt spid="_x0000_s112665"/>
                </a:ext>
                <a:ext uri="{FF2B5EF4-FFF2-40B4-BE49-F238E27FC236}">
                  <a16:creationId xmlns:a16="http://schemas.microsoft.com/office/drawing/2014/main" id="{00000000-0008-0000-2D00-000019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0</xdr:rowOff>
        </xdr:from>
        <xdr:to>
          <xdr:col>0</xdr:col>
          <xdr:colOff>257175</xdr:colOff>
          <xdr:row>16</xdr:row>
          <xdr:rowOff>238125</xdr:rowOff>
        </xdr:to>
        <xdr:sp macro="" textlink="">
          <xdr:nvSpPr>
            <xdr:cNvPr id="112666" name="Control 26" hidden="1">
              <a:extLst>
                <a:ext uri="{63B3BB69-23CF-44E3-9099-C40C66FF867C}">
                  <a14:compatExt spid="_x0000_s112666"/>
                </a:ext>
                <a:ext uri="{FF2B5EF4-FFF2-40B4-BE49-F238E27FC236}">
                  <a16:creationId xmlns:a16="http://schemas.microsoft.com/office/drawing/2014/main" id="{00000000-0008-0000-2D00-00001A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0</xdr:col>
          <xdr:colOff>257175</xdr:colOff>
          <xdr:row>17</xdr:row>
          <xdr:rowOff>238125</xdr:rowOff>
        </xdr:to>
        <xdr:sp macro="" textlink="">
          <xdr:nvSpPr>
            <xdr:cNvPr id="112667" name="Control 27" hidden="1">
              <a:extLst>
                <a:ext uri="{63B3BB69-23CF-44E3-9099-C40C66FF867C}">
                  <a14:compatExt spid="_x0000_s112667"/>
                </a:ext>
                <a:ext uri="{FF2B5EF4-FFF2-40B4-BE49-F238E27FC236}">
                  <a16:creationId xmlns:a16="http://schemas.microsoft.com/office/drawing/2014/main" id="{00000000-0008-0000-2D00-00001B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476250</xdr:colOff>
      <xdr:row>5</xdr:row>
      <xdr:rowOff>89725</xdr:rowOff>
    </xdr:from>
    <xdr:to>
      <xdr:col>12</xdr:col>
      <xdr:colOff>341902</xdr:colOff>
      <xdr:row>11</xdr:row>
      <xdr:rowOff>485286</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1219200" y="1975675"/>
          <a:ext cx="7466602" cy="3653111"/>
        </a:xfrm>
        <a:prstGeom prst="rect">
          <a:avLst/>
        </a:prstGeom>
      </xdr:spPr>
    </xdr:pic>
    <xdr:clientData/>
  </xdr:twoCellAnchor>
  <xdr:twoCellAnchor editAs="oneCell">
    <xdr:from>
      <xdr:col>14</xdr:col>
      <xdr:colOff>209550</xdr:colOff>
      <xdr:row>1</xdr:row>
      <xdr:rowOff>47625</xdr:rowOff>
    </xdr:from>
    <xdr:to>
      <xdr:col>25</xdr:col>
      <xdr:colOff>408607</xdr:colOff>
      <xdr:row>3</xdr:row>
      <xdr:rowOff>209444</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10429875" y="219075"/>
          <a:ext cx="7742857" cy="847619"/>
        </a:xfrm>
        <a:prstGeom prst="rect">
          <a:avLst/>
        </a:prstGeom>
      </xdr:spPr>
    </xdr:pic>
    <xdr:clientData/>
  </xdr:twoCellAnchor>
  <xdr:twoCellAnchor editAs="oneCell">
    <xdr:from>
      <xdr:col>14</xdr:col>
      <xdr:colOff>142875</xdr:colOff>
      <xdr:row>2</xdr:row>
      <xdr:rowOff>257175</xdr:rowOff>
    </xdr:from>
    <xdr:to>
      <xdr:col>26</xdr:col>
      <xdr:colOff>322799</xdr:colOff>
      <xdr:row>4</xdr:row>
      <xdr:rowOff>428475</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10363200" y="600075"/>
          <a:ext cx="8409524" cy="1200000"/>
        </a:xfrm>
        <a:prstGeom prst="rect">
          <a:avLst/>
        </a:prstGeom>
      </xdr:spPr>
    </xdr:pic>
    <xdr:clientData/>
  </xdr:twoCellAnchor>
  <xdr:twoCellAnchor editAs="oneCell">
    <xdr:from>
      <xdr:col>14</xdr:col>
      <xdr:colOff>161925</xdr:colOff>
      <xdr:row>4</xdr:row>
      <xdr:rowOff>133350</xdr:rowOff>
    </xdr:from>
    <xdr:to>
      <xdr:col>27</xdr:col>
      <xdr:colOff>27477</xdr:colOff>
      <xdr:row>6</xdr:row>
      <xdr:rowOff>485602</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10382250" y="1504950"/>
          <a:ext cx="8780952" cy="1380952"/>
        </a:xfrm>
        <a:prstGeom prst="rect">
          <a:avLst/>
        </a:prstGeom>
      </xdr:spPr>
    </xdr:pic>
    <xdr:clientData/>
  </xdr:twoCellAnchor>
  <xdr:twoCellAnchor editAs="oneCell">
    <xdr:from>
      <xdr:col>13</xdr:col>
      <xdr:colOff>514350</xdr:colOff>
      <xdr:row>10</xdr:row>
      <xdr:rowOff>314325</xdr:rowOff>
    </xdr:from>
    <xdr:to>
      <xdr:col>17</xdr:col>
      <xdr:colOff>75912</xdr:colOff>
      <xdr:row>15</xdr:row>
      <xdr:rowOff>304480</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10048875" y="4943475"/>
          <a:ext cx="2304762" cy="2561905"/>
        </a:xfrm>
        <a:prstGeom prst="rect">
          <a:avLst/>
        </a:prstGeom>
      </xdr:spPr>
    </xdr:pic>
    <xdr:clientData/>
  </xdr:twoCellAnchor>
  <xdr:twoCellAnchor editAs="oneCell">
    <xdr:from>
      <xdr:col>0</xdr:col>
      <xdr:colOff>514350</xdr:colOff>
      <xdr:row>17</xdr:row>
      <xdr:rowOff>504825</xdr:rowOff>
    </xdr:from>
    <xdr:to>
      <xdr:col>8</xdr:col>
      <xdr:colOff>223134</xdr:colOff>
      <xdr:row>42</xdr:row>
      <xdr:rowOff>132589</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514350" y="8734425"/>
          <a:ext cx="5309484" cy="42569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control" Target="../activeX/activeX9.xml"/><Relationship Id="rId18" Type="http://schemas.openxmlformats.org/officeDocument/2006/relationships/control" Target="../activeX/activeX13.xml"/><Relationship Id="rId26" Type="http://schemas.openxmlformats.org/officeDocument/2006/relationships/control" Target="../activeX/activeX20.xml"/><Relationship Id="rId3" Type="http://schemas.openxmlformats.org/officeDocument/2006/relationships/vmlDrawing" Target="../drawings/vmlDrawing27.vml"/><Relationship Id="rId21" Type="http://schemas.openxmlformats.org/officeDocument/2006/relationships/image" Target="../media/image5.emf"/><Relationship Id="rId34" Type="http://schemas.openxmlformats.org/officeDocument/2006/relationships/control" Target="../activeX/activeX27.xml"/><Relationship Id="rId7" Type="http://schemas.openxmlformats.org/officeDocument/2006/relationships/control" Target="../activeX/activeX3.xml"/><Relationship Id="rId12" Type="http://schemas.openxmlformats.org/officeDocument/2006/relationships/control" Target="../activeX/activeX8.xml"/><Relationship Id="rId17" Type="http://schemas.openxmlformats.org/officeDocument/2006/relationships/control" Target="../activeX/activeX12.xml"/><Relationship Id="rId25" Type="http://schemas.openxmlformats.org/officeDocument/2006/relationships/control" Target="../activeX/activeX19.xml"/><Relationship Id="rId33" Type="http://schemas.openxmlformats.org/officeDocument/2006/relationships/control" Target="../activeX/activeX26.xml"/><Relationship Id="rId2" Type="http://schemas.openxmlformats.org/officeDocument/2006/relationships/drawing" Target="../drawings/drawing1.xml"/><Relationship Id="rId16" Type="http://schemas.openxmlformats.org/officeDocument/2006/relationships/image" Target="../media/image4.emf"/><Relationship Id="rId20" Type="http://schemas.openxmlformats.org/officeDocument/2006/relationships/control" Target="../activeX/activeX15.xml"/><Relationship Id="rId29" Type="http://schemas.openxmlformats.org/officeDocument/2006/relationships/control" Target="../activeX/activeX23.xml"/><Relationship Id="rId1" Type="http://schemas.openxmlformats.org/officeDocument/2006/relationships/printerSettings" Target="../printerSettings/printerSettings40.bin"/><Relationship Id="rId6" Type="http://schemas.openxmlformats.org/officeDocument/2006/relationships/control" Target="../activeX/activeX2.xml"/><Relationship Id="rId11" Type="http://schemas.openxmlformats.org/officeDocument/2006/relationships/control" Target="../activeX/activeX7.xml"/><Relationship Id="rId24" Type="http://schemas.openxmlformats.org/officeDocument/2006/relationships/control" Target="../activeX/activeX18.xml"/><Relationship Id="rId32" Type="http://schemas.openxmlformats.org/officeDocument/2006/relationships/control" Target="../activeX/activeX25.xml"/><Relationship Id="rId5" Type="http://schemas.openxmlformats.org/officeDocument/2006/relationships/image" Target="../media/image3.emf"/><Relationship Id="rId15" Type="http://schemas.openxmlformats.org/officeDocument/2006/relationships/control" Target="../activeX/activeX11.xml"/><Relationship Id="rId23" Type="http://schemas.openxmlformats.org/officeDocument/2006/relationships/control" Target="../activeX/activeX17.xml"/><Relationship Id="rId28" Type="http://schemas.openxmlformats.org/officeDocument/2006/relationships/control" Target="../activeX/activeX22.xml"/><Relationship Id="rId10" Type="http://schemas.openxmlformats.org/officeDocument/2006/relationships/control" Target="../activeX/activeX6.xml"/><Relationship Id="rId19" Type="http://schemas.openxmlformats.org/officeDocument/2006/relationships/control" Target="../activeX/activeX14.xml"/><Relationship Id="rId31" Type="http://schemas.openxmlformats.org/officeDocument/2006/relationships/control" Target="../activeX/activeX24.xml"/><Relationship Id="rId4" Type="http://schemas.openxmlformats.org/officeDocument/2006/relationships/control" Target="../activeX/activeX1.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image" Target="../media/image6.emf"/></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估价对象为北京市房地产，为所有。根据《国有土地使用证》[]，估价对象（分摊）出让国有建设用地使用权面积为0平方米，建筑面积为49.02平方米。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估价对象为北京市房地产,属开发建设的，该项目尚在开发建设中。根据《国有土地使用证》[]，估价对象（分摊）出让国有建设用地使用权面积为0平方米，规划建筑面积为49.02平方米。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2023年5月6日（评估专业人员实地查勘之日）</v>
      </c>
    </row>
    <row r="13" spans="1:2" s="1203" customFormat="1">
      <c r="A13" s="1201" t="s">
        <v>529</v>
      </c>
      <c r="B13" s="1202" t="str">
        <f>'预评函-1'!A18</f>
        <v>本次估价的“房地产价值”是指在正常市场情况下，在价值时点2023年5月6日，估价对象规划用途为，土地取得方式为划拨，假定未设立法定优先受偿款下的房地产市场价值。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49.02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2580</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2581</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4" t="s">
        <v>385</v>
      </c>
      <c r="C54" s="1551" t="s">
        <v>583</v>
      </c>
    </row>
    <row r="55" spans="1:4">
      <c r="A55" s="3509"/>
      <c r="B55" s="1554" t="s">
        <v>386</v>
      </c>
      <c r="C55" s="1551" t="s">
        <v>584</v>
      </c>
    </row>
    <row r="56" spans="1:4">
      <c r="A56" s="3509"/>
      <c r="B56" s="1554" t="s">
        <v>387</v>
      </c>
      <c r="C56" s="1551" t="s">
        <v>588</v>
      </c>
    </row>
    <row r="57" spans="1:4">
      <c r="A57" s="350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10" t="s">
        <v>2583</v>
      </c>
      <c r="J2" s="3510"/>
      <c r="K2" s="3510"/>
      <c r="L2" s="3510"/>
      <c r="M2" s="3510"/>
      <c r="N2" s="3510"/>
      <c r="O2" s="3510"/>
      <c r="P2" s="3510"/>
      <c r="Q2" s="3510"/>
      <c r="R2" s="3510"/>
    </row>
    <row r="3" spans="1:18">
      <c r="A3" s="3018" t="s">
        <v>2504</v>
      </c>
      <c r="B3" s="3019">
        <f>项目基本情况!D3</f>
        <v>45052</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3.62</v>
      </c>
      <c r="D5" s="3023">
        <f>IF(ISERROR(ROUND(POWER(1+E5,A5-C5)*(POWER(1+E5,C5)-1)/(POWER(1+E5,A5)-1),3)),0,ROUND(POWER(1+E5,A5-C5)*(POWER(1+E5,C5)-1)/(POWER(1+E5,A5)-1),4))</f>
        <v>0.16719999999999999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13.63</v>
      </c>
      <c r="D6" s="3023">
        <f>IF(ISERROR(ROUND(POWER(1+E6,A6-C6)*(POWER(1+E6,C6)-1)/(POWER(1+E6,A6)-1),3)),0,ROUND(POWER(1+E6,A6-C6)*(POWER(1+E6,C6)-1)/(POWER(1+E6,A6)-1),4))</f>
        <v>0.4819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33.64</v>
      </c>
      <c r="D7" s="3023">
        <f>IF(ISERROR(ROUND(POWER(1+E7,A7-C7)*(POWER(1+E7,C7)-1)/(POWER(1+E7,A7)-1),3)),0,ROUND(POWER(1+E7,A7-C7)*(POWER(1+E7,C7)-1)/(POWER(1+E7,A7)-1),4))</f>
        <v>0.78300000000000003</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I25" sqref="I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2168</v>
      </c>
      <c r="B1" s="3519" t="str">
        <f>IF(B10="北京市","北京市",C10)&amp;F10&amp;IF(结果表!G1="在建","出让国有建设用地使用权及在建建筑物",IF(结果表!G1="土地","出让国有建设用地使用权",))&amp;B9&amp;"预评估"</f>
        <v>北京市房地产市场价值预评估</v>
      </c>
      <c r="C1" s="3520"/>
      <c r="D1" s="3520"/>
      <c r="E1" s="3520"/>
      <c r="F1" s="3520"/>
      <c r="G1" s="3520"/>
      <c r="H1" s="3520"/>
      <c r="I1" s="3521"/>
      <c r="J1" s="2469"/>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2169</v>
      </c>
      <c r="B2" s="2369"/>
      <c r="C2" s="2370"/>
      <c r="D2" s="2668"/>
      <c r="E2" s="2660"/>
      <c r="F2" s="2660"/>
      <c r="G2" s="2661"/>
      <c r="H2" s="2661"/>
      <c r="I2" s="2661"/>
      <c r="J2" s="2469"/>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1">
        <v>45052</v>
      </c>
      <c r="C3" s="2372" t="s">
        <v>2171</v>
      </c>
      <c r="D3" s="2371">
        <f>B3</f>
        <v>45052</v>
      </c>
      <c r="E3" s="2661"/>
      <c r="F3" s="2661"/>
      <c r="G3" s="2661"/>
      <c r="H3" s="2661"/>
      <c r="I3" s="2661"/>
      <c r="J3" s="2469"/>
      <c r="K3" s="2366"/>
      <c r="L3" s="2367"/>
      <c r="M3" s="2367"/>
      <c r="N3" s="2368"/>
      <c r="O3" s="1576"/>
      <c r="P3" s="2368"/>
      <c r="Q3" s="2368"/>
      <c r="R3" s="2368"/>
      <c r="S3" s="1682"/>
      <c r="T3" s="1745"/>
      <c r="U3" s="1745"/>
      <c r="V3" s="1745"/>
      <c r="W3" s="1745"/>
      <c r="X3" s="1745"/>
      <c r="Y3" s="1745"/>
      <c r="Z3" s="1745"/>
      <c r="AA3" s="1745"/>
      <c r="AB3" s="1745"/>
    </row>
    <row r="4" spans="1:30" ht="13.5"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3413</v>
      </c>
      <c r="C8" s="2388"/>
      <c r="D8" s="3522" t="s">
        <v>2177</v>
      </c>
      <c r="E8" s="2389"/>
      <c r="F8" s="2390"/>
      <c r="G8" s="2661"/>
      <c r="H8" s="2661"/>
      <c r="I8" s="2661"/>
      <c r="J8" s="2437"/>
      <c r="K8" s="2612"/>
      <c r="L8" s="2611"/>
      <c r="M8" s="2611"/>
      <c r="N8" s="2437"/>
      <c r="O8" s="2448"/>
      <c r="P8" s="2437"/>
      <c r="Q8" s="2437"/>
      <c r="R8" s="2437"/>
    </row>
    <row r="9" spans="1:30" ht="13.5" thickBot="1">
      <c r="A9" s="2391" t="s">
        <v>2178</v>
      </c>
      <c r="B9" s="2392" t="s">
        <v>3414</v>
      </c>
      <c r="C9" s="2393"/>
      <c r="D9" s="3523"/>
      <c r="E9" s="2392"/>
      <c r="F9" s="2394"/>
      <c r="G9" s="2663"/>
      <c r="H9" s="2663"/>
      <c r="I9" s="2663"/>
      <c r="J9" s="2437"/>
      <c r="K9" s="2614"/>
      <c r="L9" s="2611"/>
      <c r="M9" s="2611"/>
      <c r="N9" s="2437"/>
      <c r="O9" s="2448"/>
      <c r="P9" s="2437"/>
      <c r="Q9" s="2437"/>
      <c r="R9" s="2437"/>
    </row>
    <row r="10" spans="1:30" ht="13.5" thickTop="1">
      <c r="A10" s="2395" t="s">
        <v>2179</v>
      </c>
      <c r="B10" s="2396" t="s">
        <v>3415</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3416</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2579</v>
      </c>
      <c r="J12" s="3060"/>
      <c r="K12" s="2611"/>
      <c r="L12" s="2611"/>
      <c r="M12" s="2437"/>
      <c r="N12" s="2448"/>
      <c r="O12" s="2437"/>
      <c r="P12" s="2437"/>
      <c r="Q12" s="2437"/>
      <c r="AD12" s="1745"/>
    </row>
    <row r="13" spans="1:30">
      <c r="A13" s="3421" t="s">
        <v>3417</v>
      </c>
      <c r="B13" s="2405" t="s">
        <v>2190</v>
      </c>
      <c r="C13" s="856"/>
      <c r="D13" s="856"/>
      <c r="E13" s="856"/>
      <c r="F13" s="856"/>
      <c r="G13" s="856"/>
      <c r="H13" s="856"/>
      <c r="I13" s="856"/>
      <c r="J13" s="3060"/>
      <c r="K13" s="2611"/>
      <c r="L13" s="2611"/>
      <c r="M13" s="2437"/>
      <c r="N13" s="2448"/>
      <c r="O13" s="2437"/>
      <c r="P13" s="2437"/>
      <c r="Q13" s="2437"/>
      <c r="AD13" s="1745"/>
    </row>
    <row r="14" spans="1:30">
      <c r="A14" s="1081"/>
      <c r="B14" s="2405" t="s">
        <v>2191</v>
      </c>
      <c r="C14" s="2406">
        <v>70</v>
      </c>
      <c r="D14" s="2406"/>
      <c r="E14" s="2406"/>
      <c r="F14" s="2406"/>
      <c r="G14" s="2406"/>
      <c r="H14" s="2406"/>
      <c r="I14" s="2406"/>
      <c r="J14" s="3061"/>
      <c r="K14" s="2611"/>
      <c r="L14" s="2611"/>
      <c r="M14" s="2437"/>
      <c r="N14" s="2448"/>
      <c r="O14" s="2437"/>
      <c r="P14" s="2437"/>
      <c r="Q14" s="2437"/>
      <c r="AD14" s="1745"/>
    </row>
    <row r="15" spans="1:30">
      <c r="A15" s="320"/>
      <c r="B15" s="2407" t="s">
        <v>2192</v>
      </c>
      <c r="C15" s="2408">
        <f>IF(A13="出让",IF(C13="","",ROUNDDOWN(MIN((C13-$D$3)/365,C14),2)),C14)</f>
        <v>70</v>
      </c>
      <c r="D15" s="2408">
        <f>IF(A13="出让",IF(D13="","",ROUNDDOWN(MIN((D13-$D$3)/365,D14),2)),D14)</f>
        <v>0</v>
      </c>
      <c r="E15" s="2408">
        <f>IF(A13="出让",IF(E13="","",ROUNDDOWN(MIN((E13-$D$3)/365,E14),2)),E14)</f>
        <v>0</v>
      </c>
      <c r="F15" s="2408">
        <f>IF(A13="出让",IF(F13="","",ROUNDDOWN(MIN((F13-$D$3)/365,F14),2)),F14)</f>
        <v>0</v>
      </c>
      <c r="G15" s="2408">
        <f>IF(A13="出让",IF(G13="","",ROUNDDOWN(MIN((G13-$D$3)/365,G14),2)),G14)</f>
        <v>0</v>
      </c>
      <c r="H15" s="2408">
        <f>IF(A13="出让",IF(H13="","",ROUNDDOWN(MIN((H13-$D$3)/365,H14),2)),H14)</f>
        <v>0</v>
      </c>
      <c r="I15" s="2408">
        <f>IF(A13="出让",IF(I13="","",ROUNDDOWN(MIN((I13-$D$3)/365,I14),2)),I14)</f>
        <v>0</v>
      </c>
      <c r="J15" s="3062"/>
      <c r="K15" s="2449"/>
      <c r="L15" s="2449"/>
      <c r="M15" s="2507"/>
      <c r="N15" s="2449"/>
      <c r="O15" s="2507"/>
      <c r="P15" s="2437"/>
      <c r="Q15" s="2437"/>
      <c r="AD15" s="1745"/>
    </row>
    <row r="16" spans="1:30">
      <c r="A16" s="2398" t="s">
        <v>2193</v>
      </c>
      <c r="B16" s="3529"/>
      <c r="C16" s="3530"/>
      <c r="D16" s="3531"/>
      <c r="E16" s="2411" t="s">
        <v>2194</v>
      </c>
      <c r="F16" s="3532"/>
      <c r="G16" s="3533"/>
      <c r="H16" s="3533"/>
      <c r="I16" s="3534"/>
      <c r="J16" s="2437"/>
      <c r="K16" s="2615"/>
      <c r="L16" s="2449"/>
      <c r="M16" s="2449"/>
      <c r="N16" s="2507"/>
      <c r="O16" s="2449"/>
      <c r="P16" s="2507"/>
      <c r="Q16" s="2437"/>
      <c r="R16" s="2437"/>
    </row>
    <row r="17" spans="1:28">
      <c r="A17" s="313" t="s">
        <v>2195</v>
      </c>
      <c r="B17" s="302" t="s">
        <v>2196</v>
      </c>
      <c r="C17" s="8">
        <f>'数据-汇总表'!E3</f>
        <v>49.02</v>
      </c>
      <c r="D17" s="2320" t="s">
        <v>2197</v>
      </c>
      <c r="E17" s="3535" t="s">
        <v>2198</v>
      </c>
      <c r="F17" s="3536"/>
      <c r="G17" s="3536"/>
      <c r="H17" s="3536"/>
      <c r="I17" s="3537"/>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0</v>
      </c>
      <c r="D18" s="1092" t="s">
        <v>2201</v>
      </c>
      <c r="E18" s="3538" t="s">
        <v>2202</v>
      </c>
      <c r="F18" s="3539"/>
      <c r="G18" s="3539"/>
      <c r="H18" s="3539"/>
      <c r="I18" s="3540"/>
      <c r="J18" s="2437"/>
      <c r="K18" s="2616"/>
      <c r="L18" s="2449"/>
      <c r="M18" s="2449"/>
      <c r="N18" s="2507"/>
      <c r="O18" s="2449"/>
      <c r="P18" s="2507"/>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25" t="s">
        <v>2206</v>
      </c>
      <c r="C20" s="3526"/>
      <c r="D20" s="3527" t="s">
        <v>2207</v>
      </c>
      <c r="E20" s="3528"/>
      <c r="F20" s="2645" t="s">
        <v>1056</v>
      </c>
      <c r="G20" s="2662"/>
      <c r="H20" s="2662"/>
      <c r="I20" s="2662"/>
      <c r="J20" s="2437"/>
      <c r="K20" s="352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7"/>
      <c r="K21" s="352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24.75" thickBot="1">
      <c r="A22" s="2630"/>
      <c r="B22" s="2634" t="s">
        <v>2211</v>
      </c>
      <c r="C22" s="2632" t="s">
        <v>1058</v>
      </c>
      <c r="D22" s="2661"/>
      <c r="E22" s="2661"/>
      <c r="F22" s="2661"/>
      <c r="G22" s="2662"/>
      <c r="H22" s="2662"/>
      <c r="I22" s="2662"/>
      <c r="J22" s="2437"/>
      <c r="K22" s="352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2"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2"/>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2"/>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3"/>
      <c r="B30" s="302" t="s">
        <v>2218</v>
      </c>
      <c r="C30" s="3514"/>
      <c r="D30" s="3515"/>
      <c r="E30" s="2662"/>
      <c r="F30" s="2662"/>
      <c r="G30" s="2662"/>
      <c r="H30" s="2662"/>
      <c r="I30" s="2662"/>
      <c r="J30" s="2437"/>
      <c r="K30" s="2614"/>
      <c r="L30" s="2611"/>
      <c r="M30" s="2611"/>
      <c r="N30" s="2437"/>
      <c r="O30" s="2448"/>
      <c r="P30" s="2437"/>
      <c r="Q30" s="2437"/>
      <c r="R30" s="2437"/>
      <c r="S30" s="2437"/>
      <c r="T30" s="2437"/>
      <c r="U30" s="2437"/>
      <c r="V30" s="2437"/>
    </row>
    <row r="31" spans="1:28">
      <c r="A31" s="3516" t="s">
        <v>2219</v>
      </c>
      <c r="B31" s="2420"/>
      <c r="C31" s="2321"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17"/>
      <c r="B32" s="2420"/>
      <c r="C32" s="2321"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17"/>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4"/>
      <c r="C34" s="2024"/>
      <c r="D34" s="2024"/>
      <c r="E34" s="2024"/>
      <c r="F34" s="2024"/>
      <c r="G34" s="2024"/>
      <c r="H34" s="2024"/>
      <c r="I34" s="2662"/>
      <c r="J34" s="2437"/>
      <c r="K34" s="2425">
        <f>COUNTIF(B34:H34,"——")</f>
        <v>0</v>
      </c>
      <c r="L34" s="323" t="s">
        <v>2221</v>
      </c>
      <c r="M34" s="323" t="s">
        <v>2222</v>
      </c>
      <c r="N34" s="323" t="s">
        <v>2223</v>
      </c>
      <c r="O34" s="323" t="s">
        <v>2224</v>
      </c>
      <c r="P34" s="323" t="s">
        <v>2225</v>
      </c>
      <c r="Q34" s="323" t="s">
        <v>2226</v>
      </c>
      <c r="R34" s="323" t="s">
        <v>2227</v>
      </c>
      <c r="S34" s="3511" t="s">
        <v>2228</v>
      </c>
      <c r="T34" s="2426" t="str">
        <f>NUMBERSTRING(7-K34,1)&amp;"通"</f>
        <v>七通</v>
      </c>
      <c r="U34" s="2437"/>
      <c r="V34" s="2437"/>
    </row>
    <row r="35" spans="1:30">
      <c r="A35" s="2427"/>
      <c r="B35" s="3518" t="s">
        <v>2229</v>
      </c>
      <c r="C35" s="3518"/>
      <c r="D35" s="3518"/>
      <c r="E35" s="3518"/>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1"/>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2582</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t="s">
        <v>296</v>
      </c>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t="s">
        <v>202</v>
      </c>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8"/>
      <c r="J40" s="2507"/>
      <c r="K40" s="2613"/>
      <c r="L40" s="2449"/>
      <c r="M40" s="2449"/>
      <c r="N40" s="2507"/>
      <c r="O40" s="2449"/>
      <c r="P40" s="2437"/>
      <c r="Q40" s="2437"/>
      <c r="R40" s="2437"/>
      <c r="S40" s="2437"/>
      <c r="T40" s="2437"/>
      <c r="U40" s="2437"/>
      <c r="V40" s="2437"/>
    </row>
    <row r="41" spans="1:30">
      <c r="A41" s="2434" t="s">
        <v>2233</v>
      </c>
      <c r="B41" s="1757"/>
      <c r="C41" s="1373"/>
      <c r="D41" s="2368"/>
      <c r="E41" s="2368"/>
      <c r="F41" s="2368"/>
      <c r="G41" s="2368"/>
      <c r="H41" s="2368"/>
      <c r="I41" s="1576"/>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49.02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49.02</v>
      </c>
      <c r="H5" s="13">
        <f t="shared" ref="H5:AT5" si="0">SUM(H13:H656)</f>
        <v>49.02</v>
      </c>
      <c r="I5" s="13">
        <f t="shared" si="0"/>
        <v>49.02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49.02</v>
      </c>
      <c r="BA5" s="15">
        <f t="shared" si="1"/>
        <v>49.02</v>
      </c>
      <c r="BB5" s="15">
        <f t="shared" si="1"/>
        <v>49.02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3393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3412</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平层住宅</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3410</v>
      </c>
      <c r="E13" s="13">
        <f>IF($C$3="是",ROUND($A$3*G13/$B$3,2),ROUND($A$3*(G13-AT13)/$B$3,2))</f>
        <v>0</v>
      </c>
      <c r="F13" s="29"/>
      <c r="G13" s="30">
        <f>H13+AC13+AT13</f>
        <v>49.02</v>
      </c>
      <c r="H13" s="17">
        <f>SUMIF(I$12:AB$12,"总值",I13:AB13)</f>
        <v>49.02</v>
      </c>
      <c r="I13" s="1626">
        <v>49.02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49.02</v>
      </c>
      <c r="BA13" s="13">
        <f>SUM(BB13:BK13)</f>
        <v>49.02</v>
      </c>
      <c r="BB13" s="13">
        <f>IF($D13="是",I13-J13,0)</f>
        <v>49.02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9" t="s">
        <v>1108</v>
      </c>
      <c r="F2" s="2657"/>
      <c r="G2" s="2648"/>
      <c r="H2" s="2649"/>
      <c r="I2" s="2323" t="s">
        <v>1132</v>
      </c>
      <c r="J2" s="2657"/>
      <c r="K2" s="2657"/>
      <c r="L2" s="2657"/>
      <c r="M2" s="2657"/>
      <c r="N2" s="2659"/>
      <c r="O2" s="2657"/>
      <c r="P2" s="2657"/>
    </row>
    <row r="3" spans="1:16" ht="15.75" thickBot="1">
      <c r="A3" s="3551" t="s">
        <v>1105</v>
      </c>
      <c r="B3" s="3551"/>
      <c r="C3" s="3551"/>
      <c r="D3" s="43">
        <f>'数据-基础表'!AY6</f>
        <v>0</v>
      </c>
      <c r="E3" s="43">
        <f>'数据-基础表'!AZ5</f>
        <v>49.02</v>
      </c>
      <c r="F3" s="2657"/>
      <c r="G3" s="1145"/>
      <c r="H3" s="1026" t="s">
        <v>1106</v>
      </c>
      <c r="I3" s="855" t="e">
        <f>ROUND('数据-基础表'!B3/'数据-基础表'!A3,2)</f>
        <v>#DIV/0!</v>
      </c>
      <c r="J3" s="2657"/>
      <c r="K3" s="2657"/>
      <c r="L3" s="2657"/>
      <c r="M3" s="2657"/>
      <c r="N3" s="2659"/>
      <c r="O3" s="2657"/>
      <c r="P3" s="2657"/>
    </row>
    <row r="4" spans="1:16" ht="15">
      <c r="A4" s="3552"/>
      <c r="B4" s="3553"/>
      <c r="C4" s="3554"/>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55" t="s">
        <v>1110</v>
      </c>
      <c r="C5" s="3555"/>
      <c r="D5" s="45">
        <f>ROUND($D$3*E5/$E$3,2)</f>
        <v>0</v>
      </c>
      <c r="E5" s="46">
        <f>SUMIF('数据-基础表'!$11:$11,"住宅",'数据-基础表'!$5:$5)</f>
        <v>49.02</v>
      </c>
      <c r="F5" s="2657"/>
      <c r="G5" s="1145"/>
      <c r="H5" s="1026" t="s">
        <v>1106</v>
      </c>
      <c r="I5" s="855" t="e">
        <f>ROUND(E31/D31,2)</f>
        <v>#DIV/0!</v>
      </c>
      <c r="J5" s="2657"/>
      <c r="K5" s="2657"/>
      <c r="L5" s="2657"/>
      <c r="M5" s="2657"/>
      <c r="N5" s="2657"/>
      <c r="O5" s="2657"/>
      <c r="P5" s="2657"/>
    </row>
    <row r="6" spans="1:16" ht="15" thickBot="1">
      <c r="A6" s="1644"/>
      <c r="B6" s="3555" t="s">
        <v>1111</v>
      </c>
      <c r="C6" s="3555"/>
      <c r="D6" s="45">
        <f>ROUND($D$3*E6/$E$3,2)</f>
        <v>0</v>
      </c>
      <c r="E6" s="46">
        <f>E3-E5</f>
        <v>0</v>
      </c>
      <c r="F6" s="2657"/>
      <c r="G6" s="2651" t="s">
        <v>1112</v>
      </c>
      <c r="H6" s="1146" t="s">
        <v>1113</v>
      </c>
      <c r="I6" s="2652" t="e">
        <f>ROUND(F31/D31,2)</f>
        <v>#DIV/0!</v>
      </c>
      <c r="J6" s="2657"/>
      <c r="K6" s="2657"/>
      <c r="L6" s="2657"/>
      <c r="M6" s="2657"/>
      <c r="N6" s="2657"/>
      <c r="O6" s="2657"/>
      <c r="P6" s="2657"/>
    </row>
    <row r="7" spans="1:16" ht="15.75" thickBot="1">
      <c r="A7" s="3547"/>
      <c r="B7" s="3548"/>
      <c r="C7" s="3549"/>
      <c r="D7" s="1641" t="s">
        <v>1107</v>
      </c>
      <c r="E7" s="1645" t="s">
        <v>1114</v>
      </c>
      <c r="F7" s="2657"/>
      <c r="G7" s="2653" t="s">
        <v>1115</v>
      </c>
      <c r="H7" s="2654"/>
      <c r="I7" s="2655">
        <v>1</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49.02</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49.02</v>
      </c>
      <c r="F16" s="2657"/>
      <c r="G16" s="2658"/>
      <c r="H16" s="1648" t="s">
        <v>1135</v>
      </c>
      <c r="I16" s="1649"/>
      <c r="J16" s="1139"/>
      <c r="K16" s="3544" t="s">
        <v>1135</v>
      </c>
      <c r="L16" s="3545"/>
      <c r="M16" s="3545"/>
      <c r="N16" s="3545"/>
      <c r="O16" s="3545"/>
      <c r="P16" s="3546"/>
    </row>
    <row r="17" spans="1:19" ht="15">
      <c r="A17" s="1650" t="s">
        <v>1136</v>
      </c>
      <c r="B17" s="1651" t="s">
        <v>1137</v>
      </c>
      <c r="C17" s="1652" t="s">
        <v>1138</v>
      </c>
      <c r="D17" s="1653" t="s">
        <v>1126</v>
      </c>
      <c r="E17" s="1654" t="s">
        <v>1127</v>
      </c>
      <c r="F17" s="1655"/>
      <c r="G17" s="1656"/>
      <c r="H17" s="1657" t="s">
        <v>1139</v>
      </c>
      <c r="I17" s="1658" t="s">
        <v>1124</v>
      </c>
      <c r="J17" s="1139"/>
      <c r="K17" s="3541" t="s">
        <v>1140</v>
      </c>
      <c r="L17" s="3542"/>
      <c r="M17" s="3543"/>
      <c r="N17" s="3541" t="s">
        <v>1141</v>
      </c>
      <c r="O17" s="3542"/>
      <c r="P17" s="354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3429</v>
      </c>
      <c r="D19" s="45">
        <f>ROUND($D$3*E19/$E$3,2)</f>
        <v>0</v>
      </c>
      <c r="E19" s="53">
        <f t="shared" ref="E19:E26" si="1">SUM(F19:G19)</f>
        <v>49.02</v>
      </c>
      <c r="F19" s="2793">
        <f>'数据-基础表'!I13</f>
        <v>49.02</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49.02</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49.02</v>
      </c>
      <c r="F27" s="1140">
        <f>IF(SUM(F19:F26)=E8,SUM(F19:F26),"地上面积有误")</f>
        <v>49.02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49.02</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49.02</v>
      </c>
      <c r="F31" s="677">
        <f>F27+F30</f>
        <v>49.02</v>
      </c>
      <c r="G31" s="678">
        <f>G27+G30</f>
        <v>0</v>
      </c>
      <c r="H31" s="2657"/>
      <c r="I31" s="2657"/>
      <c r="J31" s="2657"/>
      <c r="K31" s="2657"/>
      <c r="L31" s="2657"/>
      <c r="M31" s="2657"/>
      <c r="N31" s="2657"/>
      <c r="O31" s="2657"/>
      <c r="P31" s="2657"/>
    </row>
    <row r="32" spans="1:19">
      <c r="A32" s="1643"/>
      <c r="B32" s="1643" t="s">
        <v>1159</v>
      </c>
      <c r="C32" s="1643"/>
      <c r="D32" s="1643"/>
      <c r="E32" s="1053">
        <f>SUMIF(C19:C26,"*住宅*",E19:E26)</f>
        <v>49.02</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L24" sqref="L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45052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3430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3393</v>
      </c>
      <c r="D6" s="858">
        <f>SUMIF(项目基本情况!C$12:I$12,C6,项目基本情况!C$14:I$14)</f>
        <v>70</v>
      </c>
      <c r="E6" s="857">
        <f>IF(B6="","",SUMIF(项目基本情况!C$12:I$12,C6,项目基本情况!C$13:I$13))</f>
        <v>0</v>
      </c>
      <c r="F6" s="64">
        <f>SUMIF(项目基本情况!C$12:I$12,C6,项目基本情况!C$15:I$15)</f>
        <v>70</v>
      </c>
      <c r="G6" s="65">
        <f>IF(ISERROR(ROUND(POWER(1+H6,D6-F6)*(POWER(1+H6,F6)-1)/(POWER(1+H6,D6)-1),3)),0,ROUND(POWER(1+H6,D6-F6)*(POWER(1+H6,F6)-1)/(POWER(1+H6,D6)-1),3))</f>
        <v>1</v>
      </c>
      <c r="H6" s="732">
        <v>4.4999999999999998E-2</v>
      </c>
      <c r="I6" s="732">
        <v>4.4999999999999998E-2</v>
      </c>
      <c r="J6" s="66">
        <v>6.5000000000000002E-2</v>
      </c>
      <c r="K6" s="1030">
        <f>SUMIF('数据-汇总表'!C$19:C$33,A6,'数据-汇总表'!E$19:E$33)</f>
        <v>49.02</v>
      </c>
      <c r="L6" s="733">
        <v>4000</v>
      </c>
      <c r="M6" s="67">
        <f t="shared" ref="M6:M14" si="0">ROUND(K6*L6/10000,0)</f>
        <v>20</v>
      </c>
      <c r="N6" s="731">
        <v>0.63500000000000001</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6">
        <v>5000</v>
      </c>
      <c r="V6" s="70">
        <v>0.03</v>
      </c>
      <c r="W6" s="70">
        <v>0.05</v>
      </c>
      <c r="X6" s="1040"/>
      <c r="Y6" s="71">
        <f>N6</f>
        <v>0.63500000000000001</v>
      </c>
      <c r="Z6" s="72"/>
      <c r="AA6" s="66"/>
      <c r="AB6" s="66"/>
      <c r="AC6" s="1040"/>
      <c r="AD6" s="73"/>
      <c r="AE6" s="1041">
        <f ca="1">IF(AN6="",0,SUMIF(INDIRECT("'"&amp;AN6&amp;"'"&amp;"!E:E"),$AE$5,INDIRECT("'"&amp;AN6&amp;"'"&amp;"!F:F")))</f>
        <v>70</v>
      </c>
      <c r="AF6" s="1348"/>
      <c r="AG6" s="138">
        <f>IF(AF6="",0,AE6-AF6)</f>
        <v>0</v>
      </c>
      <c r="AH6" s="74">
        <v>1</v>
      </c>
      <c r="AI6" s="76">
        <v>12</v>
      </c>
      <c r="AJ6" s="77"/>
      <c r="AK6" s="78">
        <v>0.01</v>
      </c>
      <c r="AL6" s="79">
        <v>1E-3</v>
      </c>
      <c r="AM6" s="80">
        <v>0.01</v>
      </c>
      <c r="AN6" s="1715" t="s">
        <v>3426</v>
      </c>
      <c r="AO6" s="52">
        <f ca="1">SUMIF(INDIRECT("'"&amp;AN6&amp;"'"&amp;"!A:A"),"总价",INDIRECT("'"&amp;AN6&amp;"'"&amp;"!B:B"))</f>
        <v>219.76929999999999</v>
      </c>
      <c r="AP6" s="1716">
        <f>IF(C6="住宅",K6*L6,0)</f>
        <v>196080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1</v>
      </c>
      <c r="H16" s="90">
        <f>ROUND(SUMPRODUCT(H6:H13,K6:K13)/SUMPRODUCT((H6:H13&gt;0)*(K6:K13)),3)</f>
        <v>4.4999999999999998E-2</v>
      </c>
      <c r="I16" s="91"/>
      <c r="J16" s="91"/>
      <c r="K16" s="92">
        <f>SUM(K6:K15)</f>
        <v>49.02</v>
      </c>
      <c r="L16" s="93">
        <f>ROUND(M16*10000/SUM(K6:K14),0)</f>
        <v>4080</v>
      </c>
      <c r="M16" s="93">
        <f>SUM(M6:M14)</f>
        <v>20</v>
      </c>
      <c r="N16" s="94">
        <f>ROUND(SUMPRODUCT(M6:M14,N6:N14)/M16,3)</f>
        <v>0.63500000000000001</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2305</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2303</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(元)'!C9</f>
        <v>7843</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3431</v>
      </c>
      <c r="B40" s="1078">
        <f ca="1">IF(A40="利息：取LPR",存贷款利率!G1,存贷款利率!G1+C40)</f>
        <v>4.7500000000000001E-2</v>
      </c>
      <c r="C40" s="2812">
        <v>1.0999999999999999E-2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56" t="s">
        <v>2286</v>
      </c>
      <c r="B1" s="3557"/>
      <c r="C1" s="3557"/>
      <c r="D1" s="3557"/>
      <c r="E1" s="3557"/>
      <c r="F1" s="3557"/>
      <c r="G1" s="355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3"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49.02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45052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312.07600000000002</v>
      </c>
      <c r="C5" s="2510">
        <f ca="1">IF(B5=D14,结果表!H102,ROUND(B5*10000/$B$1,0))</f>
        <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49.02</v>
      </c>
      <c r="C14" s="2516"/>
      <c r="D14" s="2516">
        <f ca="1">ROUND(E14*B14/10000,4)</f>
        <v>312.07600000000002</v>
      </c>
      <c r="E14" s="2516">
        <f ca="1">结果表!G20</f>
        <v>63663</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I31" sqref="I3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2" t="str">
        <f>项目基本情况!S2</f>
        <v>北京市房地产</v>
      </c>
      <c r="B2" s="3593"/>
      <c r="C2" s="3593"/>
      <c r="D2" s="3593"/>
      <c r="E2" s="3593"/>
      <c r="F2" s="3593"/>
      <c r="G2" s="3593"/>
      <c r="H2" s="3593"/>
      <c r="I2" s="3594"/>
    </row>
    <row r="3" spans="1:12" ht="12.75">
      <c r="A3" s="3596" t="s">
        <v>1264</v>
      </c>
      <c r="B3" s="3597"/>
      <c r="C3" s="3597"/>
      <c r="D3" s="3597"/>
      <c r="E3" s="3597"/>
      <c r="F3" s="3597"/>
      <c r="G3" s="3597"/>
      <c r="H3" s="3597"/>
      <c r="I3" s="3597"/>
    </row>
    <row r="4" spans="1:12" ht="14.25">
      <c r="A4" s="1754" t="s">
        <v>1265</v>
      </c>
      <c r="B4" s="1755" t="s">
        <v>1266</v>
      </c>
      <c r="C4" s="1756" t="s">
        <v>3425</v>
      </c>
      <c r="D4" s="1756" t="s">
        <v>3426</v>
      </c>
      <c r="E4" s="3598" t="s">
        <v>1267</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559">
        <v>25</v>
      </c>
      <c r="C5" s="3575"/>
      <c r="D5" s="3595"/>
      <c r="E5" s="131" t="s">
        <v>1269</v>
      </c>
      <c r="F5" s="1757"/>
      <c r="G5" s="1757"/>
      <c r="H5" s="1757"/>
      <c r="I5" s="1373"/>
    </row>
    <row r="6" spans="1:12" ht="12.75">
      <c r="A6" s="3572"/>
      <c r="B6" s="3559"/>
      <c r="C6" s="3576"/>
      <c r="D6" s="3595"/>
      <c r="E6" s="131" t="s">
        <v>1270</v>
      </c>
      <c r="F6" s="1757"/>
      <c r="G6" s="1757"/>
      <c r="H6" s="1757"/>
      <c r="I6" s="1373"/>
    </row>
    <row r="7" spans="1:12" ht="12.75">
      <c r="A7" s="3572"/>
      <c r="B7" s="3559"/>
      <c r="C7" s="3577"/>
      <c r="D7" s="3595"/>
      <c r="E7" s="131" t="s">
        <v>1271</v>
      </c>
      <c r="F7" s="1757"/>
      <c r="G7" s="1757"/>
      <c r="H7" s="1757"/>
      <c r="I7" s="1373"/>
    </row>
    <row r="8" spans="1:12" ht="12.75">
      <c r="A8" s="3572" t="s">
        <v>1272</v>
      </c>
      <c r="B8" s="3559">
        <v>15</v>
      </c>
      <c r="C8" s="3575"/>
      <c r="D8" s="3595"/>
      <c r="E8" s="131" t="s">
        <v>1273</v>
      </c>
      <c r="F8" s="1757"/>
      <c r="G8" s="1757"/>
      <c r="H8" s="1757"/>
      <c r="I8" s="1373"/>
    </row>
    <row r="9" spans="1:12" ht="12.75">
      <c r="A9" s="3572"/>
      <c r="B9" s="3559"/>
      <c r="C9" s="3577"/>
      <c r="D9" s="3595"/>
      <c r="E9" s="131" t="s">
        <v>1274</v>
      </c>
      <c r="F9" s="1757"/>
      <c r="G9" s="1757"/>
      <c r="H9" s="1757"/>
      <c r="I9" s="1373"/>
    </row>
    <row r="10" spans="1:12" ht="12.75">
      <c r="A10" s="3572" t="s">
        <v>1275</v>
      </c>
      <c r="B10" s="3559">
        <v>15</v>
      </c>
      <c r="C10" s="3575"/>
      <c r="D10" s="3595"/>
      <c r="E10" s="131" t="s">
        <v>1276</v>
      </c>
      <c r="F10" s="1757"/>
      <c r="G10" s="1757"/>
      <c r="H10" s="1757"/>
      <c r="I10" s="1373"/>
    </row>
    <row r="11" spans="1:12" ht="12.75">
      <c r="A11" s="3572"/>
      <c r="B11" s="3559"/>
      <c r="C11" s="3577"/>
      <c r="D11" s="3595"/>
      <c r="E11" s="131" t="s">
        <v>1277</v>
      </c>
      <c r="F11" s="1757"/>
      <c r="G11" s="1757"/>
      <c r="H11" s="1757"/>
      <c r="I11" s="1373"/>
    </row>
    <row r="12" spans="1:12" ht="12.75">
      <c r="A12" s="3572" t="s">
        <v>1278</v>
      </c>
      <c r="B12" s="3559">
        <v>15</v>
      </c>
      <c r="C12" s="3575"/>
      <c r="D12" s="3595"/>
      <c r="E12" s="131" t="s">
        <v>1279</v>
      </c>
      <c r="F12" s="1757"/>
      <c r="G12" s="1757"/>
      <c r="H12" s="1757"/>
      <c r="I12" s="1373"/>
    </row>
    <row r="13" spans="1:12" ht="12.75">
      <c r="A13" s="3572"/>
      <c r="B13" s="3559"/>
      <c r="C13" s="3577"/>
      <c r="D13" s="3595"/>
      <c r="E13" s="131" t="s">
        <v>1280</v>
      </c>
      <c r="F13" s="1757"/>
      <c r="G13" s="1757"/>
      <c r="H13" s="1757"/>
      <c r="I13" s="1373"/>
    </row>
    <row r="14" spans="1:12" ht="12.75">
      <c r="A14" s="3572" t="s">
        <v>1281</v>
      </c>
      <c r="B14" s="3559">
        <v>30</v>
      </c>
      <c r="C14" s="3575">
        <v>8</v>
      </c>
      <c r="D14" s="3595">
        <f>10-C14</f>
        <v>2</v>
      </c>
      <c r="E14" s="131" t="s">
        <v>1282</v>
      </c>
      <c r="F14" s="1757"/>
      <c r="G14" s="1757"/>
      <c r="H14" s="1757"/>
      <c r="I14" s="1373"/>
    </row>
    <row r="15" spans="1:12" ht="12.75">
      <c r="A15" s="3572"/>
      <c r="B15" s="3559"/>
      <c r="C15" s="3576"/>
      <c r="D15" s="3595"/>
      <c r="E15" s="131" t="s">
        <v>1283</v>
      </c>
      <c r="F15" s="1757"/>
      <c r="G15" s="1757"/>
      <c r="H15" s="1757"/>
      <c r="I15" s="1373"/>
    </row>
    <row r="16" spans="1:12" ht="12.75">
      <c r="A16" s="3572"/>
      <c r="B16" s="3559"/>
      <c r="C16" s="3577"/>
      <c r="D16" s="3595"/>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582" t="s">
        <v>2131</v>
      </c>
      <c r="F18" s="3583"/>
      <c r="G18" s="3583"/>
      <c r="H18" s="3583"/>
      <c r="I18" s="3583"/>
      <c r="K18" s="302" t="s">
        <v>1289</v>
      </c>
      <c r="L18" s="302">
        <f>IF(C1="",'数据-汇总表'!E3,SUMIF(项目类型,C1,'数据-汇总表'!E17:E26)+SUMIF(项目类型,C1,'数据-汇总表'!I17:I26))</f>
        <v>49.02</v>
      </c>
      <c r="M18" s="302">
        <f>IF(C1="",'数据-汇总表'!E3,SUMIF(项目类型,C1,'数据-汇总表'!E17:E26))</f>
        <v>49.02</v>
      </c>
    </row>
    <row r="19" spans="1:36" ht="15">
      <c r="A19" s="1761" t="s">
        <v>1290</v>
      </c>
      <c r="B19" s="1762" t="s">
        <v>1291</v>
      </c>
      <c r="C19" s="134">
        <f ca="1">SUMIF(INDIRECT("'"&amp;C4&amp;"'"&amp;"!A:A"),结果表!B19,INDIRECT("'"&amp;C4&amp;"'"&amp;"!B:B"))</f>
        <v>335.1497</v>
      </c>
      <c r="D19" s="135">
        <f ca="1">SUMIF(INDIRECT("'"&amp;D4&amp;"'"&amp;"!A:A"),结果表!B19,INDIRECT("'"&amp;D4&amp;"'"&amp;"!B:B"))</f>
        <v>219.76929999999999</v>
      </c>
      <c r="E19" s="1761" t="s">
        <v>1292</v>
      </c>
      <c r="F19" s="1762" t="s">
        <v>1291</v>
      </c>
      <c r="G19" s="136">
        <f ca="1">ROUND(C19*$C$18+D19*$D$18,0)</f>
        <v>312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68370</v>
      </c>
      <c r="D20" s="138">
        <f ca="1">SUMIF(INDIRECT("'"&amp;D4&amp;"'"&amp;"!A:A"),结果表!B20,INDIRECT("'"&amp;D4&amp;"'"&amp;"!B:B"))</f>
        <v>44833</v>
      </c>
      <c r="E20" s="1764"/>
      <c r="F20" s="1026" t="s">
        <v>1295</v>
      </c>
      <c r="G20" s="139">
        <f ca="1">ROUND(C20*$C$18+D20*$D$18,0)</f>
        <v>63663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0.52500690496807345</v>
      </c>
      <c r="E22" s="129"/>
      <c r="F22" s="129"/>
      <c r="G22" s="129"/>
      <c r="H22" s="129"/>
      <c r="I22" s="129"/>
    </row>
    <row r="23" spans="1:36" ht="13.5" thickBot="1">
      <c r="A23" s="1747"/>
      <c r="B23" s="1747"/>
      <c r="C23" s="1747"/>
      <c r="D23" s="1747"/>
      <c r="E23" s="129"/>
      <c r="F23" s="129"/>
      <c r="G23" s="129"/>
      <c r="H23" s="129"/>
      <c r="I23" s="129"/>
    </row>
    <row r="24" spans="1:36" ht="14.25">
      <c r="A24" s="3566" t="s">
        <v>1299</v>
      </c>
      <c r="B24" s="1762" t="s">
        <v>1291</v>
      </c>
      <c r="C24" s="136">
        <f>IF(B30=0,0,D30)</f>
        <v>0</v>
      </c>
      <c r="D24" s="1769"/>
      <c r="E24" s="129"/>
      <c r="F24" s="129"/>
      <c r="G24" s="129"/>
      <c r="H24" s="129"/>
      <c r="I24" s="129"/>
    </row>
    <row r="25" spans="1:36" ht="14.25">
      <c r="A25" s="356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1305</v>
      </c>
      <c r="B32" s="1774"/>
      <c r="C32" s="144">
        <f ca="1">IF(D32="总价",G19-C24,G20-C25)</f>
        <v>63663</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6" t="s">
        <v>1312</v>
      </c>
      <c r="B36" s="1787" t="s">
        <v>1313</v>
      </c>
      <c r="C36" s="145"/>
      <c r="D36" s="1788"/>
      <c r="E36" s="1789"/>
      <c r="F36" s="1790"/>
      <c r="G36" s="129"/>
      <c r="H36" s="129"/>
      <c r="I36" s="129"/>
    </row>
    <row r="37" spans="1:15" ht="15.75" thickBot="1">
      <c r="A37" s="3587"/>
      <c r="B37" s="1674" t="s">
        <v>1314</v>
      </c>
      <c r="C37" s="147"/>
      <c r="D37" s="1139"/>
      <c r="E37" s="1139"/>
      <c r="F37" s="1790"/>
      <c r="G37" s="129"/>
      <c r="H37" s="129"/>
      <c r="I37" s="129"/>
    </row>
    <row r="38" spans="1:15" ht="15.75" thickBot="1">
      <c r="A38" s="358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3" t="s">
        <v>1326</v>
      </c>
      <c r="B45" s="3564"/>
      <c r="C45" s="3565"/>
      <c r="D45" s="155" t="e">
        <f ca="1">ROUND(H101*F45,0)</f>
        <v>#REF!</v>
      </c>
      <c r="E45" s="156" t="s">
        <v>1327</v>
      </c>
      <c r="F45" s="157">
        <v>1</v>
      </c>
      <c r="G45" s="158" t="s">
        <v>1328</v>
      </c>
      <c r="H45" s="129"/>
      <c r="I45" s="129"/>
      <c r="J45" s="3641" t="s">
        <v>1329</v>
      </c>
      <c r="K45" s="3641"/>
      <c r="L45" s="3641"/>
      <c r="M45" s="3641"/>
      <c r="N45" s="3641"/>
      <c r="O45" s="3641"/>
    </row>
    <row r="46" spans="1:15" ht="14.25" customHeight="1">
      <c r="A46" s="3560" t="s">
        <v>1330</v>
      </c>
      <c r="B46" s="3561"/>
      <c r="C46" s="3561"/>
      <c r="D46" s="3561"/>
      <c r="E46" s="3561"/>
      <c r="F46" s="3561"/>
      <c r="G46" s="3562"/>
      <c r="H46" s="1806"/>
      <c r="I46" s="159"/>
      <c r="J46" s="2521">
        <v>1</v>
      </c>
      <c r="K46" s="3622" t="s">
        <v>1331</v>
      </c>
      <c r="L46" s="3622"/>
      <c r="M46" s="3642"/>
      <c r="N46" s="3642"/>
      <c r="O46" s="3642"/>
    </row>
    <row r="47" spans="1:15" ht="12" customHeight="1">
      <c r="A47" s="160" t="s">
        <v>1332</v>
      </c>
      <c r="B47" s="161"/>
      <c r="C47" s="162"/>
      <c r="D47" s="1087" t="s">
        <v>1333</v>
      </c>
      <c r="E47" s="302" t="s">
        <v>1334</v>
      </c>
      <c r="F47" s="163" t="s">
        <v>1335</v>
      </c>
      <c r="G47" s="2544" t="s">
        <v>1336</v>
      </c>
      <c r="H47" s="2545"/>
      <c r="I47" s="159"/>
      <c r="J47" s="2521">
        <v>2</v>
      </c>
      <c r="K47" s="3622" t="s">
        <v>1337</v>
      </c>
      <c r="L47" s="3622"/>
      <c r="M47" s="3643">
        <f>'数据-取费表'!B2</f>
        <v>45052</v>
      </c>
      <c r="N47" s="3643"/>
      <c r="O47" s="3643"/>
    </row>
    <row r="48" spans="1:15" ht="25.5">
      <c r="A48" s="3591" t="s">
        <v>1338</v>
      </c>
      <c r="B48" s="3574"/>
      <c r="C48" s="3574"/>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6"/>
      <c r="J48" s="2521">
        <v>3</v>
      </c>
      <c r="K48" s="3622" t="s">
        <v>1340</v>
      </c>
      <c r="L48" s="3622"/>
      <c r="M48" s="3644" t="e">
        <f ca="1">H101</f>
        <v>#REF!</v>
      </c>
      <c r="N48" s="3644"/>
      <c r="O48" s="3644"/>
    </row>
    <row r="49" spans="1:35" ht="25.5" customHeight="1">
      <c r="A49" s="2331" t="s">
        <v>1341</v>
      </c>
      <c r="B49" s="3558" t="s">
        <v>1342</v>
      </c>
      <c r="C49" s="3558"/>
      <c r="D49" s="1590">
        <v>0</v>
      </c>
      <c r="E49" s="324" t="s">
        <v>1343</v>
      </c>
      <c r="F49" s="2422" t="s">
        <v>28</v>
      </c>
      <c r="G49" s="3628"/>
      <c r="H49" s="2308" t="s">
        <v>2134</v>
      </c>
      <c r="I49" s="2309"/>
      <c r="J49" s="2521">
        <v>4</v>
      </c>
      <c r="K49" s="3622" t="str">
        <f>IF(项目基本情况!E8="房地产抵押价值","房地产抵押价值","抵押担保权已注销时的房地产抵押价值")</f>
        <v>抵押担保权已注销时的房地产抵押价值</v>
      </c>
      <c r="L49" s="3622"/>
      <c r="M49" s="3644" t="str">
        <f>IF(项目基本情况!E8="房地产抵押价值",H107,H109)</f>
        <v>——</v>
      </c>
      <c r="N49" s="3644"/>
      <c r="O49" s="3644"/>
    </row>
    <row r="50" spans="1:35" ht="25.5" customHeight="1">
      <c r="A50" s="2549"/>
      <c r="B50" s="3558" t="s">
        <v>1344</v>
      </c>
      <c r="C50" s="3558"/>
      <c r="D50" s="2550"/>
      <c r="E50" s="332"/>
      <c r="F50" s="2422"/>
      <c r="G50" s="3629"/>
      <c r="H50" s="2310" t="s">
        <v>2135</v>
      </c>
      <c r="I50" s="2309"/>
      <c r="J50" s="3641" t="s">
        <v>1345</v>
      </c>
      <c r="K50" s="3641"/>
      <c r="L50" s="3641"/>
      <c r="M50" s="3641"/>
      <c r="N50" s="3641"/>
      <c r="O50" s="3641"/>
    </row>
    <row r="51" spans="1:35" ht="20.45" customHeight="1">
      <c r="A51" s="2551"/>
      <c r="B51" s="3558" t="s">
        <v>1346</v>
      </c>
      <c r="C51" s="3558"/>
      <c r="D51" s="1087"/>
      <c r="E51" s="327"/>
      <c r="F51" s="2422"/>
      <c r="G51" s="3630"/>
      <c r="H51" s="2310" t="s">
        <v>2136</v>
      </c>
      <c r="I51" s="2309"/>
      <c r="J51" s="2522" t="s">
        <v>1347</v>
      </c>
      <c r="K51" s="3622" t="s">
        <v>1348</v>
      </c>
      <c r="L51" s="3622"/>
      <c r="M51" s="2522" t="s">
        <v>1349</v>
      </c>
      <c r="N51" s="2522" t="s">
        <v>1350</v>
      </c>
      <c r="O51" s="2522" t="s">
        <v>1351</v>
      </c>
    </row>
    <row r="52" spans="1:35" ht="24" customHeight="1">
      <c r="A52" s="2333" t="s">
        <v>1352</v>
      </c>
      <c r="B52" s="3558" t="s">
        <v>1353</v>
      </c>
      <c r="C52" s="3558"/>
      <c r="D52" s="1087" t="e">
        <f ca="1">ROUND(D45*'数据-取费表'!B41/(1+'数据-取费表'!C42),0)</f>
        <v>#REF!</v>
      </c>
      <c r="E52" s="2332" t="s">
        <v>1354</v>
      </c>
      <c r="F52" s="2552">
        <f>'数据-取费表'!B41</f>
        <v>5.6000000000000001E-2</v>
      </c>
      <c r="G52" s="2553"/>
      <c r="H52" s="2542"/>
      <c r="I52" s="1807"/>
      <c r="J52" s="2521">
        <v>1</v>
      </c>
      <c r="K52" s="3623" t="s">
        <v>1355</v>
      </c>
      <c r="L52" s="3623"/>
      <c r="M52" s="2523" t="b">
        <f>D48</f>
        <v>0</v>
      </c>
      <c r="N52" s="2521" t="str">
        <f>E48</f>
        <v>销售额×税（费）率</v>
      </c>
      <c r="O52" s="2524">
        <f>F48</f>
        <v>5.6000000000000001E-2</v>
      </c>
    </row>
    <row r="53" spans="1:35" ht="12" customHeight="1">
      <c r="A53" s="2333" t="s">
        <v>1356</v>
      </c>
      <c r="B53" s="3584" t="s">
        <v>2291</v>
      </c>
      <c r="C53" s="3585"/>
      <c r="D53" s="1087" t="e">
        <f ca="1">ROUND(D45*'数据-取费表'!B41/(1+'数据-取费表'!C42),0)</f>
        <v>#REF!</v>
      </c>
      <c r="E53" s="2332" t="s">
        <v>1354</v>
      </c>
      <c r="F53" s="2552">
        <f>'数据-取费表'!B41</f>
        <v>5.6000000000000001E-2</v>
      </c>
      <c r="G53" s="2553"/>
      <c r="H53" s="2542"/>
      <c r="I53" s="1807"/>
      <c r="J53" s="2521">
        <v>2</v>
      </c>
      <c r="K53" s="3623" t="s">
        <v>1357</v>
      </c>
      <c r="L53" s="3623"/>
      <c r="M53" s="2523" t="e">
        <f t="shared" ref="M53:O54" ca="1" si="0">D55</f>
        <v>#REF!</v>
      </c>
      <c r="N53" s="2521" t="str">
        <f t="shared" si="0"/>
        <v>销售额×税（费）率</v>
      </c>
      <c r="O53" s="2524" t="str">
        <f t="shared" si="0"/>
        <v>免征</v>
      </c>
    </row>
    <row r="54" spans="1:35" ht="12" customHeight="1">
      <c r="A54" s="2333" t="s">
        <v>1358</v>
      </c>
      <c r="B54" s="3584" t="s">
        <v>2292</v>
      </c>
      <c r="C54" s="3585"/>
      <c r="D54" s="1087" t="e">
        <f ca="1">C68</f>
        <v>#REF!</v>
      </c>
      <c r="E54" s="327" t="s">
        <v>1359</v>
      </c>
      <c r="F54" s="2552">
        <f>'数据-取费表'!B41</f>
        <v>5.6000000000000001E-2</v>
      </c>
      <c r="G54" s="2553"/>
      <c r="H54" s="2554"/>
      <c r="I54" s="1807"/>
      <c r="J54" s="2521">
        <v>3</v>
      </c>
      <c r="K54" s="3623" t="s">
        <v>1360</v>
      </c>
      <c r="L54" s="3623"/>
      <c r="M54" s="2523" t="e">
        <f t="shared" ca="1" si="0"/>
        <v>#REF!</v>
      </c>
      <c r="N54" s="2521" t="str">
        <f t="shared" si="0"/>
        <v>增值额×税（费）率</v>
      </c>
      <c r="O54" s="2525" t="str">
        <f t="shared" si="0"/>
        <v>免征</v>
      </c>
    </row>
    <row r="55" spans="1:35" ht="24" customHeight="1">
      <c r="A55" s="3573" t="s">
        <v>1361</v>
      </c>
      <c r="B55" s="3574"/>
      <c r="C55" s="3574"/>
      <c r="D55" s="2322" t="e">
        <f ca="1">IF(H55="个人住宅",0,ROUND(D45*I55,0))</f>
        <v>#REF!</v>
      </c>
      <c r="E55" s="2332" t="s">
        <v>1362</v>
      </c>
      <c r="F55" s="2552" t="str">
        <f>IF(H55="正常",I55,"免征")</f>
        <v>免征</v>
      </c>
      <c r="G55" s="2553"/>
      <c r="H55" s="2548"/>
      <c r="I55" s="165">
        <f>'数据-取费表'!B49</f>
        <v>5.0000000000000001E-4</v>
      </c>
      <c r="J55" s="2521">
        <f>IF(H59="非个人房产","",4)</f>
        <v>4</v>
      </c>
      <c r="K55" s="3623" t="str">
        <f>IF(H59="非个人房产","——","个人所得税")</f>
        <v>个人所得税</v>
      </c>
      <c r="L55" s="3623"/>
      <c r="M55" s="2526" t="e">
        <f ca="1">D59</f>
        <v>#REF!</v>
      </c>
      <c r="N55" s="2038" t="str">
        <f>E59</f>
        <v>差额计税</v>
      </c>
      <c r="O55" s="2527">
        <f>F59</f>
        <v>0.01</v>
      </c>
    </row>
    <row r="56" spans="1:35" ht="24.75">
      <c r="A56" s="3573" t="s">
        <v>1363</v>
      </c>
      <c r="B56" s="3574"/>
      <c r="C56" s="3574"/>
      <c r="D56" s="2322" t="e">
        <f ca="1">IF(H56="个人住宅",D57,D58)</f>
        <v>#REF!</v>
      </c>
      <c r="E56" s="2332" t="s">
        <v>1364</v>
      </c>
      <c r="F56" s="2552" t="str">
        <f>IF(H56="正常",F58,"免征")</f>
        <v>免征</v>
      </c>
      <c r="G56" s="2555" t="s">
        <v>1365</v>
      </c>
      <c r="H56" s="2556"/>
      <c r="I56" s="1808"/>
      <c r="J56" s="2521" t="str">
        <f>IF(项目基本情况!K6="上海银行",IF(J55="",4,J55+1),"")</f>
        <v/>
      </c>
      <c r="K56" s="3646" t="str">
        <f>IF(项目基本情况!K6="上海银行","其他处置费用","")</f>
        <v/>
      </c>
      <c r="L56" s="3647"/>
      <c r="M56" s="2523" t="str">
        <f>IF(项目基本情况!K6="上海银行",M69,"")</f>
        <v/>
      </c>
      <c r="N56" s="3646" t="str">
        <f>IF(项目基本情况!K6="上海银行","包含处置中涉及的律师、诉讼、拍卖、评估等费用","")</f>
        <v/>
      </c>
      <c r="O56" s="3649"/>
    </row>
    <row r="57" spans="1:35" ht="12.75">
      <c r="A57" s="2333" t="s">
        <v>1341</v>
      </c>
      <c r="B57" s="3584" t="s">
        <v>1366</v>
      </c>
      <c r="C57" s="3585"/>
      <c r="D57" s="1590">
        <v>0</v>
      </c>
      <c r="E57" s="324" t="s">
        <v>1343</v>
      </c>
      <c r="F57" s="302"/>
      <c r="G57" s="2553"/>
      <c r="H57" s="2557"/>
      <c r="I57" s="1808"/>
      <c r="J57" s="3623">
        <f>IF(AND(J55="",J56=""),4,IF(项目基本情况!K6="上海银行",结果表!J56+1,结果表!J55+1))</f>
        <v>5</v>
      </c>
      <c r="K57" s="3623" t="s">
        <v>1367</v>
      </c>
      <c r="L57" s="2528" t="s">
        <v>1368</v>
      </c>
      <c r="M57" s="2529"/>
      <c r="N57" s="2530">
        <f ca="1">SUMIF(M52:M56,"&lt;9e307")</f>
        <v>0</v>
      </c>
      <c r="O57" s="2531"/>
      <c r="P57" s="2688" t="e">
        <f ca="1">N57/M49</f>
        <v>#VALUE!</v>
      </c>
    </row>
    <row r="58" spans="1:35" ht="24.75">
      <c r="A58" s="2333" t="s">
        <v>1352</v>
      </c>
      <c r="B58" s="3584" t="s">
        <v>1369</v>
      </c>
      <c r="C58" s="3558"/>
      <c r="D58" s="2322" t="e">
        <f ca="1">IF(H58="转让取得",C81,C97)</f>
        <v>#REF!</v>
      </c>
      <c r="E58" s="2332" t="s">
        <v>1364</v>
      </c>
      <c r="F58" s="302" t="s">
        <v>28</v>
      </c>
      <c r="G58" s="2553"/>
      <c r="H58" s="2556"/>
      <c r="I58" s="1808"/>
      <c r="J58" s="3623"/>
      <c r="K58" s="3623"/>
      <c r="L58" s="2528" t="s">
        <v>1370</v>
      </c>
      <c r="M58" s="2532"/>
      <c r="N58" s="2533" t="str">
        <f ca="1">NUMBERSTRING(INT(N57*10000),2)&amp;"元整"</f>
        <v>零元整</v>
      </c>
      <c r="O58" s="2534"/>
    </row>
    <row r="59" spans="1:35" ht="24.75" thickBot="1">
      <c r="A59" s="3626" t="s">
        <v>1371</v>
      </c>
      <c r="B59" s="3627"/>
      <c r="C59" s="3627"/>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624">
        <f>J57+1</f>
        <v>6</v>
      </c>
      <c r="K59" s="3623" t="s">
        <v>1372</v>
      </c>
      <c r="L59" s="2521" t="s">
        <v>1368</v>
      </c>
      <c r="M59" s="2535"/>
      <c r="N59" s="2536" t="e">
        <f ca="1">M49-N57</f>
        <v>#VALUE!</v>
      </c>
      <c r="O59" s="2537"/>
    </row>
    <row r="60" spans="1:35" ht="12" customHeight="1">
      <c r="A60" s="1809"/>
      <c r="B60" s="1747"/>
      <c r="C60" s="1747"/>
      <c r="D60" s="1747"/>
      <c r="E60" s="1578"/>
      <c r="F60" s="1808"/>
      <c r="G60" s="1808"/>
      <c r="H60" s="1810"/>
      <c r="I60" s="129"/>
      <c r="J60" s="3625"/>
      <c r="K60" s="3623"/>
      <c r="L60" s="2528" t="s">
        <v>1370</v>
      </c>
      <c r="M60" s="2532"/>
      <c r="N60" s="2533" t="e">
        <f ca="1">NUMBERSTRING(INT(N59*10000),2)&amp;"元整"</f>
        <v>#VALUE!</v>
      </c>
      <c r="O60" s="2534"/>
    </row>
    <row r="61" spans="1:35" ht="13.5" thickBot="1">
      <c r="A61" s="3571" t="s">
        <v>1373</v>
      </c>
      <c r="B61" s="3571"/>
      <c r="C61" s="3571"/>
      <c r="D61" s="3571"/>
      <c r="E61" s="3571"/>
      <c r="F61" s="1808"/>
      <c r="G61" s="1808"/>
      <c r="H61" s="1810"/>
      <c r="I61" s="129"/>
      <c r="J61" s="2521">
        <f>J59+1</f>
        <v>7</v>
      </c>
      <c r="K61" s="3623" t="s">
        <v>1374</v>
      </c>
      <c r="L61" s="3623"/>
      <c r="M61" s="2538"/>
      <c r="N61" s="2539" t="e">
        <f ca="1">ROUND(N59*10000/'数据-汇总表'!E3,0)</f>
        <v>#VALUE!</v>
      </c>
      <c r="O61" s="2540"/>
    </row>
    <row r="62" spans="1:35" ht="12.75">
      <c r="A62" s="3589" t="s">
        <v>1375</v>
      </c>
      <c r="B62" s="3590"/>
      <c r="C62" s="2019"/>
      <c r="D62" s="2019"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648"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4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48"/>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48"/>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4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648"/>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48"/>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1394</v>
      </c>
      <c r="B70" s="3611"/>
      <c r="C70" s="3611"/>
      <c r="D70" s="3611"/>
      <c r="E70" s="3611"/>
      <c r="F70" s="3611"/>
      <c r="G70" s="3611"/>
      <c r="H70" s="3611"/>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19"/>
      <c r="D71" s="2019"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29"/>
      <c r="F72" s="2328"/>
      <c r="G72" s="2328"/>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84" t="s">
        <v>1402</v>
      </c>
      <c r="F76" s="3558"/>
      <c r="G76" s="3558"/>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568" t="s">
        <v>1406</v>
      </c>
      <c r="F78" s="3569"/>
      <c r="G78" s="3569"/>
      <c r="H78" s="357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0" t="s">
        <v>1410</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5"/>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5"/>
      <c r="G90" s="3650" t="s">
        <v>2129</v>
      </c>
      <c r="H90" s="3651"/>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68" t="s">
        <v>1419</v>
      </c>
      <c r="F91" s="3569"/>
      <c r="G91" s="356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68" t="s">
        <v>1422</v>
      </c>
      <c r="F92" s="3569"/>
      <c r="G92" s="3569"/>
      <c r="H92" s="3578"/>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568" t="s">
        <v>1406</v>
      </c>
      <c r="F93" s="3569"/>
      <c r="G93" s="3569"/>
      <c r="H93" s="357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79" t="s">
        <v>1426</v>
      </c>
      <c r="F94" s="3580"/>
      <c r="G94" s="3580"/>
      <c r="H94" s="358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2" t="s">
        <v>1428</v>
      </c>
      <c r="B100" s="3553"/>
      <c r="C100" s="3553"/>
      <c r="D100" s="3570"/>
      <c r="E100" s="3553" t="s">
        <v>1429</v>
      </c>
      <c r="F100" s="3553"/>
      <c r="G100" s="3553"/>
      <c r="H100" s="3570"/>
      <c r="I100" s="129"/>
    </row>
    <row r="101" spans="1:35" ht="18.75" customHeight="1">
      <c r="A101" s="3631" t="s">
        <v>1430</v>
      </c>
      <c r="B101" s="3632"/>
      <c r="C101" s="2583" t="str">
        <f>C4</f>
        <v>比较法-住宅</v>
      </c>
      <c r="D101" s="2584" t="str">
        <f>D4</f>
        <v>收益法 (元)</v>
      </c>
      <c r="E101" s="3645" t="s">
        <v>1431</v>
      </c>
      <c r="F101" s="3602"/>
      <c r="G101" s="1827" t="s">
        <v>1432</v>
      </c>
      <c r="H101" s="2593" t="e">
        <f ca="1">H118</f>
        <v>#REF!</v>
      </c>
      <c r="I101" s="129"/>
    </row>
    <row r="102" spans="1:35" ht="18.75" customHeight="1">
      <c r="A102" s="3604" t="s">
        <v>1433</v>
      </c>
      <c r="B102" s="2582" t="s">
        <v>1432</v>
      </c>
      <c r="C102" s="2583">
        <f ca="1">IF(D32="楼面单价",ROUND(C19,0),C19)</f>
        <v>335.1497</v>
      </c>
      <c r="D102" s="2584">
        <f ca="1">IF(D32="楼面单价",ROUND(D19,0),D19)</f>
        <v>219.76929999999999</v>
      </c>
      <c r="E102" s="3645"/>
      <c r="F102" s="3602"/>
      <c r="G102" s="1827" t="s">
        <v>1434</v>
      </c>
      <c r="H102" s="2553" t="e">
        <f ca="1">I118</f>
        <v>#REF!</v>
      </c>
      <c r="I102" s="129"/>
    </row>
    <row r="103" spans="1:35" ht="42.75" customHeight="1">
      <c r="A103" s="3604"/>
      <c r="B103" s="2582" t="s">
        <v>1434</v>
      </c>
      <c r="C103" s="2585">
        <f ca="1">C20</f>
        <v>68370</v>
      </c>
      <c r="D103" s="2586">
        <f ca="1">D20</f>
        <v>44833</v>
      </c>
      <c r="E103" s="3639" t="s">
        <v>1435</v>
      </c>
      <c r="F103" s="3640"/>
      <c r="G103" s="1828" t="s">
        <v>1436</v>
      </c>
      <c r="H103" s="2593">
        <f>IF(D36="正常操作",H104+H105+H106,H105+H106)</f>
        <v>0</v>
      </c>
      <c r="I103" s="129"/>
    </row>
    <row r="104" spans="1:35" ht="18.75" customHeight="1">
      <c r="A104" s="3604"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05"/>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01" t="str">
        <f>IF(项目基本情况!E8="已注销","——","3.房地产抵押价值")</f>
        <v>3.房地产抵押价值</v>
      </c>
      <c r="F107" s="3602"/>
      <c r="G107" s="1827" t="s">
        <v>1432</v>
      </c>
      <c r="H107" s="2593" t="e">
        <f ca="1">IF(E107="——","——",H101-H103)</f>
        <v>#REF!</v>
      </c>
      <c r="I107" s="129"/>
    </row>
    <row r="108" spans="1:35" ht="18.75" customHeight="1">
      <c r="A108" s="129"/>
      <c r="B108" s="129"/>
      <c r="C108" s="129"/>
      <c r="D108" s="129"/>
      <c r="E108" s="3601"/>
      <c r="F108" s="3602"/>
      <c r="G108" s="1827" t="s">
        <v>1434</v>
      </c>
      <c r="H108" s="2553">
        <f ca="1">IF(H107=H101,H102,ROUND(H107*10000/'数据-汇总表'!E3,0))</f>
        <v>0</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7" t="s">
        <v>1432</v>
      </c>
      <c r="H109" s="2596" t="str">
        <f>IF(E109="——","——",H101-H105-H106)</f>
        <v>——</v>
      </c>
      <c r="I109" s="129"/>
    </row>
    <row r="110" spans="1:35" ht="18.75" customHeight="1">
      <c r="A110" s="129"/>
      <c r="B110" s="129"/>
      <c r="C110" s="129"/>
      <c r="D110" s="129"/>
      <c r="E110" s="3601"/>
      <c r="F110" s="3602"/>
      <c r="G110" s="1827" t="s">
        <v>1434</v>
      </c>
      <c r="H110" s="2553"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03"/>
      <c r="G111" s="1827" t="s">
        <v>1432</v>
      </c>
      <c r="H111" s="2593" t="str">
        <f>IF(E111="——","——",N59)</f>
        <v>——</v>
      </c>
      <c r="I111" s="129"/>
    </row>
    <row r="112" spans="1:35" ht="18.75" customHeight="1" thickBot="1">
      <c r="A112" s="129"/>
      <c r="B112" s="129"/>
      <c r="C112" s="129"/>
      <c r="D112" s="129"/>
      <c r="E112" s="3634"/>
      <c r="F112" s="3635"/>
      <c r="G112" s="1830" t="s">
        <v>1434</v>
      </c>
      <c r="H112" s="2597" t="str">
        <f>IF(E111="——","——",N61)</f>
        <v>——</v>
      </c>
      <c r="I112" s="129"/>
    </row>
    <row r="113" spans="1:27" ht="18.75" customHeight="1">
      <c r="A113" s="129"/>
      <c r="B113" s="129"/>
      <c r="C113" s="129"/>
      <c r="D113" s="129"/>
      <c r="E113" s="3606" t="s">
        <v>1440</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6" t="s">
        <v>1442</v>
      </c>
      <c r="B115" s="3617"/>
      <c r="C115" s="3617"/>
      <c r="D115" s="3617"/>
      <c r="E115" s="3617"/>
      <c r="F115" s="3617"/>
      <c r="G115" s="3617"/>
      <c r="H115" s="3617"/>
      <c r="I115" s="3618"/>
    </row>
    <row r="116" spans="1:27" ht="27" customHeight="1">
      <c r="A116" s="3572" t="s">
        <v>1443</v>
      </c>
      <c r="B116" s="3607" t="s">
        <v>1444</v>
      </c>
      <c r="C116" s="3607" t="s">
        <v>1445</v>
      </c>
      <c r="D116" s="3620" t="s">
        <v>1446</v>
      </c>
      <c r="E116" s="3621"/>
      <c r="F116" s="3615" t="s">
        <v>1447</v>
      </c>
      <c r="G116" s="3615"/>
      <c r="H116" s="3572" t="s">
        <v>1448</v>
      </c>
      <c r="I116" s="3572"/>
    </row>
    <row r="117" spans="1:27" ht="18.75" customHeight="1">
      <c r="A117" s="3572"/>
      <c r="B117" s="3608"/>
      <c r="C117" s="3608"/>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49.02</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72" t="s">
        <v>1452</v>
      </c>
      <c r="B119" s="3572"/>
      <c r="C119" s="3572"/>
      <c r="D119" s="3612" t="e">
        <f ca="1">NUMBERSTRING(INT(D118*10000),2)&amp;"元整"</f>
        <v>#REF!</v>
      </c>
      <c r="E119" s="3614"/>
      <c r="F119" s="3612" t="e">
        <f ca="1">NUMBERSTRING(INT(F118*10000),2)&amp;"元整"</f>
        <v>#REF!</v>
      </c>
      <c r="G119" s="3614"/>
      <c r="H119" s="3612" t="e">
        <f ca="1">NUMBERSTRING(INT(H118*10000),2)&amp;"元整"</f>
        <v>#REF!</v>
      </c>
      <c r="I119" s="3614"/>
    </row>
    <row r="120" spans="1:27" ht="18.75" customHeight="1">
      <c r="A120" s="3636" t="str">
        <f>IF(项目基本情况!B9="房地产市场价值","",MID(E103,3,LEN(E103)-2))</f>
        <v/>
      </c>
      <c r="B120" s="3637"/>
      <c r="C120" s="3638"/>
      <c r="D120" s="3636">
        <f>H103</f>
        <v>0</v>
      </c>
      <c r="E120" s="3637"/>
      <c r="F120" s="3637"/>
      <c r="G120" s="3637"/>
      <c r="H120" s="3637"/>
      <c r="I120" s="363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2" t="s">
        <v>1452</v>
      </c>
      <c r="B121" s="3613"/>
      <c r="C121" s="3614"/>
      <c r="D121" s="3612" t="str">
        <f>IF(D120=0,"零元整",NUMBERSTRING(INT(D120*10000),2)&amp;"元整")</f>
        <v>零元整</v>
      </c>
      <c r="E121" s="3613"/>
      <c r="F121" s="3613"/>
      <c r="G121" s="3613"/>
      <c r="H121" s="3613"/>
      <c r="I121" s="3614"/>
      <c r="AA121" s="725"/>
    </row>
    <row r="122" spans="1:27" ht="18.75" customHeight="1">
      <c r="A122" s="3603" t="str">
        <f>IF(项目基本情况!B9="房地产市场价值","",MID(E107,3,LEN(E107)-2))</f>
        <v/>
      </c>
      <c r="B122" s="3603"/>
      <c r="C122" s="3603"/>
      <c r="D122" s="3636" t="e">
        <f ca="1">H107</f>
        <v>#REF!</v>
      </c>
      <c r="E122" s="3637"/>
      <c r="F122" s="3637"/>
      <c r="G122" s="3637"/>
      <c r="H122" s="3637"/>
      <c r="I122" s="3638"/>
      <c r="AA122" s="725"/>
    </row>
    <row r="123" spans="1:27" ht="18.75" customHeight="1">
      <c r="A123" s="3572" t="s">
        <v>1452</v>
      </c>
      <c r="B123" s="3572"/>
      <c r="C123" s="3572"/>
      <c r="D123" s="3612" t="e">
        <f ca="1">NUMBERSTRING(INT(D122*10000),2)&amp;"元整"</f>
        <v>#REF!</v>
      </c>
      <c r="E123" s="3613"/>
      <c r="F123" s="3613"/>
      <c r="G123" s="3613"/>
      <c r="H123" s="3613"/>
      <c r="I123" s="3614"/>
      <c r="AA123" s="725"/>
    </row>
    <row r="124" spans="1:27" ht="18.75" customHeight="1">
      <c r="A124" s="3603" t="str">
        <f>IF(项目基本情况!B9="房地产市场价值","",MID(E109,3,LEN(E109)-2))</f>
        <v/>
      </c>
      <c r="B124" s="3603"/>
      <c r="C124" s="3603"/>
      <c r="D124" s="3636" t="str">
        <f>H109</f>
        <v>——</v>
      </c>
      <c r="E124" s="3637"/>
      <c r="F124" s="3637"/>
      <c r="G124" s="3637"/>
      <c r="H124" s="3637"/>
      <c r="I124" s="3638"/>
      <c r="AA124" s="725"/>
    </row>
    <row r="125" spans="1:27" ht="18.75" customHeight="1">
      <c r="A125" s="3572" t="s">
        <v>1452</v>
      </c>
      <c r="B125" s="3572"/>
      <c r="C125" s="3572"/>
      <c r="D125" s="3612" t="e">
        <f>NUMBERSTRING(INT(D124*10000),2)&amp;"元整"</f>
        <v>#VALUE!</v>
      </c>
      <c r="E125" s="3613"/>
      <c r="F125" s="3613"/>
      <c r="G125" s="3613"/>
      <c r="H125" s="3613"/>
      <c r="I125" s="3614"/>
      <c r="AA125" s="725"/>
    </row>
    <row r="126" spans="1:27" ht="18.75" customHeight="1">
      <c r="A126" s="3603" t="str">
        <f>IF(项目基本情况!B9="房地产市场价值","",MID(E111,3,LEN(E111)-2))</f>
        <v/>
      </c>
      <c r="B126" s="3603"/>
      <c r="C126" s="3603"/>
      <c r="D126" s="3636" t="str">
        <f>H111</f>
        <v>——</v>
      </c>
      <c r="E126" s="3637"/>
      <c r="F126" s="3637"/>
      <c r="G126" s="3637"/>
      <c r="H126" s="3637"/>
      <c r="I126" s="3638"/>
      <c r="AA126" s="725"/>
    </row>
    <row r="127" spans="1:27" ht="18.75" customHeight="1">
      <c r="A127" s="3572" t="s">
        <v>1452</v>
      </c>
      <c r="B127" s="3572"/>
      <c r="C127" s="3572"/>
      <c r="D127" s="3612" t="e">
        <f>NUMBERSTRING(INT(D126*10000),2)&amp;"元整"</f>
        <v>#VALUE!</v>
      </c>
      <c r="E127" s="3613"/>
      <c r="F127" s="3613"/>
      <c r="G127" s="3613"/>
      <c r="H127" s="3613"/>
      <c r="I127" s="3614"/>
      <c r="AA127" s="725"/>
    </row>
    <row r="128" spans="1:27" ht="21.75" customHeight="1">
      <c r="A128" s="3619" t="s">
        <v>1453</v>
      </c>
      <c r="B128" s="3619"/>
      <c r="C128" s="3619"/>
      <c r="D128" s="3619"/>
      <c r="E128" s="3619"/>
      <c r="F128" s="3619"/>
      <c r="G128" s="3619"/>
      <c r="H128" s="3619"/>
      <c r="I128" s="361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11272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2299470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7843</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7843</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49.02</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49.02</v>
      </c>
      <c r="E19" s="211">
        <f>'数据-取费表'!B31</f>
        <v>200</v>
      </c>
      <c r="F19" s="231"/>
      <c r="G19" s="1856"/>
    </row>
    <row r="20" spans="1:7" s="214" customFormat="1" ht="13.5" customHeight="1">
      <c r="A20" s="255" t="s">
        <v>1493</v>
      </c>
      <c r="B20" s="210" t="s">
        <v>1494</v>
      </c>
      <c r="C20" s="232">
        <f ca="1">ROUND((C5+C19)*F20,0)</f>
        <v>157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770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763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7</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1600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1600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11252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20</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49.02</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2" t="s">
        <v>1544</v>
      </c>
    </row>
    <row r="43" spans="1:7" ht="13.5" customHeight="1">
      <c r="A43" s="780" t="s">
        <v>347</v>
      </c>
      <c r="B43" s="215" t="s">
        <v>1545</v>
      </c>
      <c r="C43" s="238">
        <f ca="1">ROUND(IF('数据-取费表'!B22&lt;=1,C39*F22*'数据-取费表'!B21/2,C39*(POWER((1+F22),'数据-取费表'!B21/2)-1)),0)</f>
        <v>0</v>
      </c>
      <c r="D43" s="238"/>
      <c r="E43" s="238"/>
      <c r="F43" s="239"/>
      <c r="G43" s="3653"/>
    </row>
    <row r="44" spans="1:7" ht="13.5" customHeight="1">
      <c r="A44" s="780" t="s">
        <v>348</v>
      </c>
      <c r="B44" s="215" t="s">
        <v>1546</v>
      </c>
      <c r="C44" s="238">
        <f ca="1">ROUND(IF('数据-取费表'!B22&lt;=1,C40*F22*'数据-取费表'!B21/2,C40*(POWER((1+F22),'数据-取费表'!B21/2)-1)),4)</f>
        <v>1E-3</v>
      </c>
      <c r="D44" s="238"/>
      <c r="E44" s="238"/>
      <c r="F44" s="239"/>
      <c r="G44" s="3654"/>
    </row>
    <row r="45" spans="1:7" s="214" customFormat="1" ht="13.5" customHeight="1">
      <c r="A45" s="255" t="s">
        <v>1547</v>
      </c>
      <c r="B45" s="244" t="s">
        <v>1513</v>
      </c>
      <c r="C45" s="245">
        <f ca="1">C46</f>
        <v>5</v>
      </c>
      <c r="D45" s="235">
        <f ca="1">C47</f>
        <v>4.0000000000000001E-3</v>
      </c>
      <c r="E45" s="236" t="s">
        <v>1539</v>
      </c>
      <c r="F45" s="246">
        <f ca="1">F27</f>
        <v>0.2</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31</v>
      </c>
      <c r="D49" s="232"/>
      <c r="E49" s="232"/>
      <c r="F49" s="264"/>
      <c r="G49" s="234" t="s">
        <v>1554</v>
      </c>
    </row>
    <row r="50" spans="1:7" s="258" customFormat="1" ht="24">
      <c r="A50" s="255" t="s">
        <v>1555</v>
      </c>
      <c r="B50" s="210" t="s">
        <v>1556</v>
      </c>
      <c r="C50" s="232"/>
      <c r="D50" s="232"/>
      <c r="E50" s="232"/>
      <c r="F50" s="264">
        <f>IF('数据-取费表'!B24=0,'数据-取费表'!N16,1)</f>
        <v>0.63500000000000001</v>
      </c>
      <c r="G50" s="247" t="s">
        <v>1557</v>
      </c>
    </row>
    <row r="51" spans="1:7" ht="16.5" customHeight="1">
      <c r="A51" s="255" t="s">
        <v>1558</v>
      </c>
      <c r="B51" s="210" t="s">
        <v>1559</v>
      </c>
      <c r="C51" s="232">
        <f ca="1">ROUND(C49*F50,0)</f>
        <v>20</v>
      </c>
      <c r="D51" s="232"/>
      <c r="E51" s="232"/>
      <c r="F51" s="264"/>
      <c r="G51" s="234" t="s">
        <v>1560</v>
      </c>
    </row>
    <row r="52" spans="1:7" s="208" customFormat="1" ht="16.5" thickBot="1">
      <c r="A52" s="265" t="s">
        <v>1561</v>
      </c>
      <c r="B52" s="266"/>
      <c r="C52" s="267">
        <f ca="1">C31+C51</f>
        <v>11272</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北京市房地产市场价值预评估</v>
      </c>
      <c r="C37" s="3469"/>
      <c r="D37" s="3469"/>
      <c r="E37" s="3469"/>
      <c r="F37" s="3469"/>
      <c r="G37" s="3469"/>
      <c r="H37" s="3469"/>
      <c r="I37" s="346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9328</v>
      </c>
      <c r="C2" s="276" t="s">
        <v>1595</v>
      </c>
      <c r="D2" s="276"/>
      <c r="E2" s="2804"/>
      <c r="F2" s="2804"/>
      <c r="G2" s="2804"/>
      <c r="H2" s="2804"/>
      <c r="I2" s="2804"/>
      <c r="J2" s="2804"/>
      <c r="K2" s="2804"/>
    </row>
    <row r="3" spans="1:33" ht="18" customHeight="1" thickBot="1">
      <c r="A3" s="203" t="s">
        <v>1464</v>
      </c>
      <c r="B3" s="204">
        <f ca="1">ROUND(B2*10000/IF(C1="",'数据-汇总表'!E3,INDIRECT("'数据-取费表'!K"&amp;$K$1)),0)</f>
        <v>1902897</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49.02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49.02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-7842</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49.02</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-7842</v>
      </c>
      <c r="D21" s="815"/>
      <c r="E21" s="281"/>
      <c r="F21" s="281"/>
      <c r="G21" s="131" t="s">
        <v>1629</v>
      </c>
      <c r="H21" s="807"/>
      <c r="I21" s="807"/>
      <c r="J21" s="807"/>
      <c r="K21" s="808"/>
    </row>
    <row r="22" spans="1:33" s="803" customFormat="1" ht="13.5" customHeight="1">
      <c r="A22" s="790" t="s">
        <v>1601</v>
      </c>
      <c r="B22" s="813" t="s">
        <v>1630</v>
      </c>
      <c r="C22" s="814">
        <f ca="1">ROUND(C21*F22,0)</f>
        <v>-157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-1600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-1600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9328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0</v>
      </c>
      <c r="D6" s="155" t="s">
        <v>2109</v>
      </c>
      <c r="E6" s="302" t="s">
        <v>696</v>
      </c>
      <c r="F6" s="303">
        <f ca="1">INDIRECT("'数据-取费表'!u"&amp;$G$1)</f>
        <v>0</v>
      </c>
      <c r="G6" s="1384"/>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ROUND(IF(AND(项目基本情况!B11="自然人",项目基本情况!B10="北京市"),C6*F31/(1+'数据-取费表'!C42),C32+C33+C34),2)</f>
        <v>0</v>
      </c>
      <c r="D31" s="1345" t="s">
        <v>720</v>
      </c>
      <c r="E31" s="1344" t="s">
        <v>770</v>
      </c>
      <c r="F31" s="2313">
        <f ca="1">IF(项目基本情况!B11="企业","——",IF(M47="住宅",IF(F6*F7*F8/12/(1+'数据-取费表'!F30)&gt;100000,4%,2.5%),IF(F6*F7*F8/12/(1+'数据-取费表'!F30)&gt;100000,12%,7%)))</f>
        <v>7.0000000000000007E-2</v>
      </c>
      <c r="G31" s="1384"/>
      <c r="H31" s="2806" t="s">
        <v>2310</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0</v>
      </c>
      <c r="K53" s="3655" t="s">
        <v>837</v>
      </c>
      <c r="L53" s="365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3393</v>
      </c>
      <c r="D1" s="1362" t="s">
        <v>43</v>
      </c>
      <c r="E1" s="1363" t="s">
        <v>678</v>
      </c>
      <c r="F1" s="1062">
        <f ca="1">J53</f>
        <v>70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219.76929999999999</v>
      </c>
      <c r="C2" s="1387" t="s">
        <v>879</v>
      </c>
      <c r="D2" s="1471">
        <f ca="1">C40+J29+L46</f>
        <v>2197693</v>
      </c>
      <c r="E2" s="1388" t="s">
        <v>880</v>
      </c>
      <c r="F2" s="1389"/>
      <c r="G2" s="2704"/>
      <c r="H2" s="2693"/>
      <c r="I2" s="2693"/>
      <c r="J2" s="2693"/>
      <c r="K2" s="2694"/>
      <c r="L2" s="2693"/>
      <c r="M2" s="2693"/>
    </row>
    <row r="3" spans="1:37" ht="18" customHeight="1" thickBot="1">
      <c r="A3" s="1390" t="s">
        <v>881</v>
      </c>
      <c r="B3" s="1391">
        <f ca="1">IF(ISERROR(D2/F43),0,ROUND(D2/F43,0))</f>
        <v>44833</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57071</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57000</v>
      </c>
      <c r="D6" s="155" t="s">
        <v>2106</v>
      </c>
      <c r="E6" s="302" t="s">
        <v>696</v>
      </c>
      <c r="F6" s="303">
        <f ca="1">INDIRECT("'数据-取费表'!u"&amp;$G$1)</f>
        <v>5000</v>
      </c>
      <c r="G6" s="1384"/>
      <c r="H6" s="1069" t="s">
        <v>398</v>
      </c>
      <c r="I6" s="3657" t="s">
        <v>694</v>
      </c>
      <c r="J6" s="301">
        <f ca="1">ROUND(M6*M8*M7*(1-M9),0)</f>
        <v>0</v>
      </c>
      <c r="K6" s="1376"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1</v>
      </c>
      <c r="G7" s="1384"/>
      <c r="H7" s="304"/>
      <c r="I7" s="3658"/>
      <c r="J7" s="306"/>
      <c r="K7" s="307"/>
      <c r="L7" s="302" t="s">
        <v>697</v>
      </c>
      <c r="M7" s="303">
        <f ca="1">F7</f>
        <v>1</v>
      </c>
    </row>
    <row r="8" spans="1:37" ht="18" customHeight="1">
      <c r="A8" s="304"/>
      <c r="B8" s="3658"/>
      <c r="C8" s="306"/>
      <c r="D8" s="307"/>
      <c r="E8" s="302" t="s">
        <v>698</v>
      </c>
      <c r="F8" s="303">
        <f ca="1">INDIRECT("'数据-取费表'!ai"&amp;$G$1)</f>
        <v>12</v>
      </c>
      <c r="G8" s="1384"/>
      <c r="H8" s="304"/>
      <c r="I8" s="3658"/>
      <c r="J8" s="306"/>
      <c r="K8" s="307"/>
      <c r="L8" s="302" t="s">
        <v>698</v>
      </c>
      <c r="M8" s="303">
        <f ca="1">INDIRECT("'数据-取费表'!ai"&amp;$G$1)</f>
        <v>12</v>
      </c>
    </row>
    <row r="9" spans="1:37" ht="18" customHeight="1">
      <c r="A9" s="304"/>
      <c r="B9" s="3659"/>
      <c r="C9" s="306"/>
      <c r="D9" s="307"/>
      <c r="E9" s="302" t="s">
        <v>699</v>
      </c>
      <c r="F9" s="312">
        <f ca="1">INDIRECT("'数据-取费表'!w"&amp;$G$1)</f>
        <v>0.05</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71</v>
      </c>
      <c r="D10" s="1366" t="s">
        <v>2116</v>
      </c>
      <c r="E10" s="313" t="s">
        <v>701</v>
      </c>
      <c r="F10" s="1116" t="s">
        <v>3432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200256</v>
      </c>
      <c r="D13" s="1081" t="s">
        <v>705</v>
      </c>
      <c r="E13" s="1081" t="s">
        <v>706</v>
      </c>
      <c r="F13" s="1082">
        <f ca="1">INDIRECT("'数据-取费表'!y"&amp;$G$1)</f>
        <v>0.63500000000000001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196080</v>
      </c>
      <c r="D14" s="1345" t="s">
        <v>708</v>
      </c>
      <c r="E14" s="1342"/>
      <c r="F14" s="319"/>
      <c r="G14" s="1384"/>
      <c r="H14" s="982" t="s">
        <v>398</v>
      </c>
      <c r="I14" s="302" t="s">
        <v>709</v>
      </c>
      <c r="J14" s="21">
        <f ca="1">C29</f>
        <v>315363</v>
      </c>
      <c r="K14" s="12"/>
      <c r="L14" s="807"/>
      <c r="M14" s="808"/>
    </row>
    <row r="15" spans="1:37" s="1397" customFormat="1" ht="18" customHeight="1" thickBot="1">
      <c r="A15" s="982" t="s">
        <v>399</v>
      </c>
      <c r="B15" s="302" t="s">
        <v>710</v>
      </c>
      <c r="C15" s="21">
        <f ca="1">ROUND(C14*F15,0)</f>
        <v>9804</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9804</v>
      </c>
      <c r="D16" s="302" t="s">
        <v>711</v>
      </c>
      <c r="E16" s="302" t="s">
        <v>712</v>
      </c>
      <c r="F16" s="322">
        <f ca="1">IF(INDIRECT("'数据-取费表'!c"&amp;$G$1)="住宅",'数据-取费表'!B34,0)</f>
        <v>0.05</v>
      </c>
      <c r="G16" s="1384"/>
      <c r="H16" s="1079" t="s">
        <v>393</v>
      </c>
      <c r="I16" s="1080" t="s">
        <v>714</v>
      </c>
      <c r="J16" s="310">
        <f ca="1">ROUND(J17+J22+J23+J24,0)</f>
        <v>3154</v>
      </c>
      <c r="K16" s="1087" t="s">
        <v>715</v>
      </c>
      <c r="L16" s="1088"/>
      <c r="M16" s="1072"/>
    </row>
    <row r="17" spans="1:37" s="1397" customFormat="1" ht="18" customHeight="1">
      <c r="A17" s="982" t="s">
        <v>681</v>
      </c>
      <c r="B17" s="302" t="s">
        <v>716</v>
      </c>
      <c r="C17" s="21">
        <f ca="1">ROUND(F17*(F43+INDIRECT("'数据-取费表'!S"&amp;$G$1)),0)</f>
        <v>9804</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2941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228433</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4569</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3154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11068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-3154</v>
      </c>
      <c r="K25" s="1095" t="s">
        <v>753</v>
      </c>
      <c r="L25" s="1096"/>
      <c r="M25" s="1097"/>
    </row>
    <row r="26" spans="1:37" ht="18" customHeight="1">
      <c r="A26" s="982" t="s">
        <v>397</v>
      </c>
      <c r="B26" s="302" t="s">
        <v>754</v>
      </c>
      <c r="C26" s="21">
        <f ca="1">ROUND((C19+C20)*F26,0)</f>
        <v>46600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315363</v>
      </c>
      <c r="D29" s="1092"/>
      <c r="E29" s="1090"/>
      <c r="F29" s="1093"/>
      <c r="G29" s="1396"/>
      <c r="H29" s="334" t="s">
        <v>396</v>
      </c>
      <c r="I29" s="335" t="s">
        <v>768</v>
      </c>
      <c r="J29" s="336">
        <f ca="1">ROUND(J26/(1+F40)^F41,0)</f>
        <v>0</v>
      </c>
      <c r="K29" s="337" t="s">
        <v>769</v>
      </c>
      <c r="L29" s="338"/>
      <c r="M29" s="339">
        <f ca="1">INDIRECT("'数据-取费表'!k"&amp;$G$1)</f>
        <v>49.02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5282</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ROUND(IF(AND(项目基本情况!B11="自然人",项目基本情况!B10="北京市"),C6*F31/(1+'数据-取费表'!C42),C32+C33+C34),0)</f>
        <v>1357</v>
      </c>
      <c r="D31" s="1345" t="s">
        <v>720</v>
      </c>
      <c r="E31" s="1344" t="s">
        <v>770</v>
      </c>
      <c r="F31" s="2313">
        <f ca="1">IF(项目基本情况!B11="企业","——",IF(M47="住宅",IF(F6*F7*F8/12/(1+'数据-取费表'!F30)&gt;100000,4%,2.5%),IF(F6*F7*F8/12/(1+'数据-取费表'!F30)&gt;100000,12%,7%)))</f>
        <v>2.5000000000000001E-2</v>
      </c>
      <c r="G31" s="1384"/>
      <c r="H31" s="2806" t="s">
        <v>2310</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3154</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200</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571</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51789</v>
      </c>
      <c r="D39" s="1095" t="s">
        <v>773</v>
      </c>
      <c r="E39" s="1096"/>
      <c r="F39" s="1097"/>
      <c r="G39" s="1384"/>
      <c r="H39" s="2698"/>
      <c r="I39" s="1398"/>
      <c r="J39" s="1399"/>
      <c r="K39" s="2702"/>
      <c r="L39" s="2698"/>
      <c r="M39" s="2698"/>
    </row>
    <row r="40" spans="1:18" ht="18" customHeight="1">
      <c r="A40" s="299" t="s">
        <v>395</v>
      </c>
      <c r="B40" s="300" t="s">
        <v>774</v>
      </c>
      <c r="C40" s="301">
        <f ca="1">ROUND(C39*(1-((1+F42)/(1+F40))^F41)/(F40-F42),0)</f>
        <v>2197693</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2"/>
      <c r="L41" s="1191"/>
      <c r="M41" s="1191"/>
    </row>
    <row r="42" spans="1:18" ht="18" customHeight="1">
      <c r="A42" s="308"/>
      <c r="B42" s="309"/>
      <c r="C42" s="310"/>
      <c r="D42" s="327"/>
      <c r="E42" s="302" t="s">
        <v>766</v>
      </c>
      <c r="F42" s="312">
        <f ca="1">INDIRECT("'数据-取费表'!v"&amp;$G$1)</f>
        <v>0.03</v>
      </c>
      <c r="G42" s="1384"/>
      <c r="H42" s="1191"/>
      <c r="I42" s="1398"/>
      <c r="J42" s="1399"/>
      <c r="K42" s="2542"/>
      <c r="L42" s="1191"/>
      <c r="M42" s="1191"/>
    </row>
    <row r="43" spans="1:18" ht="18" customHeight="1" thickBot="1">
      <c r="A43" s="334" t="s">
        <v>396</v>
      </c>
      <c r="B43" s="335" t="s">
        <v>776</v>
      </c>
      <c r="C43" s="336">
        <f ca="1">ROUND(C40/F43,0)</f>
        <v>44833</v>
      </c>
      <c r="D43" s="337" t="s">
        <v>777</v>
      </c>
      <c r="E43" s="338" t="s">
        <v>778</v>
      </c>
      <c r="F43" s="339">
        <f ca="1">INDIRECT("'数据-取费表'!k"&amp;$G$1)</f>
        <v>49.02</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3356</v>
      </c>
      <c r="B45" s="1400"/>
      <c r="C45" s="1472">
        <f ca="1">ROUND((C68-C40)/10000,4)</f>
        <v>-226.88050000000001</v>
      </c>
      <c r="D45" s="3430" t="s">
        <v>3357</v>
      </c>
      <c r="E45" s="1400"/>
      <c r="F45" s="1400"/>
      <c r="O45" s="1403" t="s">
        <v>808</v>
      </c>
      <c r="P45" s="1461"/>
      <c r="Q45" s="1461"/>
      <c r="R45" s="1461"/>
    </row>
    <row r="46" spans="1:18" s="1384" customFormat="1" ht="13.5" thickBot="1">
      <c r="A46" s="1404" t="s">
        <v>809</v>
      </c>
      <c r="C46" s="1405">
        <f ca="1">ROUND(C45,0)</f>
        <v>-227</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3433</v>
      </c>
      <c r="K47" s="1416" t="s">
        <v>816</v>
      </c>
      <c r="L47" s="1417">
        <f ca="1">INDIRECT("'数据-取费表'!d"&amp;$G$1)</f>
        <v>70</v>
      </c>
      <c r="M47" s="1380" t="str">
        <f>IF(ISNUMBER(FIND("住宅",C1)),"住宅","非住宅")</f>
        <v>住宅</v>
      </c>
      <c r="O47" s="1418" t="s">
        <v>403</v>
      </c>
      <c r="P47" s="1419" t="s">
        <v>817</v>
      </c>
      <c r="Q47" s="1420">
        <f ca="1">C40+J29</f>
        <v>2197693</v>
      </c>
      <c r="R47" s="1420" t="s">
        <v>818</v>
      </c>
    </row>
    <row r="48" spans="1:18" s="1384" customFormat="1" ht="28.5" thickBot="1">
      <c r="A48" s="1110" t="s">
        <v>438</v>
      </c>
      <c r="B48" s="300" t="s">
        <v>692</v>
      </c>
      <c r="C48" s="1359">
        <f ca="1">C49+C53+C55</f>
        <v>0</v>
      </c>
      <c r="D48" s="1112"/>
      <c r="E48" s="1113"/>
      <c r="F48" s="962"/>
      <c r="G48" s="722"/>
      <c r="H48" s="723"/>
      <c r="I48" s="1421" t="s">
        <v>819</v>
      </c>
      <c r="J48" s="1422" t="s">
        <v>3434</v>
      </c>
      <c r="K48" s="1423" t="s">
        <v>820</v>
      </c>
      <c r="L48" s="1424">
        <f ca="1">INDIRECT("'数据-取费表'!f"&amp;$G$1)</f>
        <v>70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1998</v>
      </c>
      <c r="K49" s="1423" t="s">
        <v>824</v>
      </c>
      <c r="L49" s="1427"/>
      <c r="O49" s="1428" t="s">
        <v>405</v>
      </c>
      <c r="P49" s="1419" t="s">
        <v>825</v>
      </c>
      <c r="Q49" s="1420">
        <f ca="1">C29</f>
        <v>315363</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35</v>
      </c>
      <c r="K51" s="1434" t="s">
        <v>830</v>
      </c>
      <c r="L51" s="1435">
        <f ca="1">ROUND(-PV(INDIRECT("'数据-取费表'!h"&amp;$G$1),J51,(C39-C13*C76),0),0)</f>
        <v>677005</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c r="O52" s="1428" t="s">
        <v>408</v>
      </c>
      <c r="P52" s="1419" t="s">
        <v>834</v>
      </c>
      <c r="Q52" s="1420">
        <f ca="1">J53</f>
        <v>70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70</v>
      </c>
      <c r="K53" s="3655" t="s">
        <v>837</v>
      </c>
      <c r="L53" s="3656"/>
      <c r="O53" s="1418" t="s">
        <v>409</v>
      </c>
      <c r="P53" s="1419" t="s">
        <v>838</v>
      </c>
      <c r="Q53" s="1420">
        <f ca="1">Q47+Q48</f>
        <v>2197693</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200256</v>
      </c>
      <c r="D56" s="1447"/>
      <c r="E56" s="1448"/>
      <c r="F56" s="1440"/>
      <c r="I56" s="1449" t="s">
        <v>842</v>
      </c>
      <c r="J56" s="1450" t="s">
        <v>3435</v>
      </c>
      <c r="K56" s="1421" t="s">
        <v>843</v>
      </c>
      <c r="L56" s="1424">
        <f ca="1">IF(L48&lt;J51,"——",L48-J51)</f>
        <v>35</v>
      </c>
      <c r="O56" s="1418" t="s">
        <v>403</v>
      </c>
      <c r="P56" s="1419" t="s">
        <v>817</v>
      </c>
      <c r="Q56" s="1420">
        <f ca="1">C40+J29</f>
        <v>2197693</v>
      </c>
      <c r="R56" s="1420" t="s">
        <v>818</v>
      </c>
    </row>
    <row r="57" spans="1:18" s="1384" customFormat="1" ht="24.75" thickBot="1">
      <c r="A57" s="1451"/>
      <c r="B57" s="950" t="s">
        <v>767</v>
      </c>
      <c r="C57" s="238">
        <f ca="1">C29</f>
        <v>315363</v>
      </c>
      <c r="D57" s="1452"/>
      <c r="E57" s="1453"/>
      <c r="F57" s="1454"/>
      <c r="I57" s="1455" t="s">
        <v>844</v>
      </c>
      <c r="J57" s="1456" t="str">
        <f ca="1">IF(OR(M47="住宅",J51&lt;L48,J56="是"),"——",J51-L48)</f>
        <v>——</v>
      </c>
      <c r="K57" s="1421" t="s">
        <v>892</v>
      </c>
      <c r="L57" s="1424">
        <f ca="1">IF(L48&lt;J51,"——",IF(L55="比较法",L49,IF(L55="基准地价",L50,L51)))</f>
        <v>677005</v>
      </c>
      <c r="O57" s="1418" t="s">
        <v>404</v>
      </c>
      <c r="P57" s="1419" t="s">
        <v>893</v>
      </c>
      <c r="Q57" s="1420">
        <f ca="1">L60</f>
        <v>0</v>
      </c>
      <c r="R57" s="1420" t="s">
        <v>894</v>
      </c>
    </row>
    <row r="58" spans="1:18" s="1384" customFormat="1" ht="24.75" thickBot="1">
      <c r="A58" s="315" t="s">
        <v>393</v>
      </c>
      <c r="B58" s="958" t="s">
        <v>714</v>
      </c>
      <c r="C58" s="316">
        <f ca="1">ROUND(C59+C64+C65+C66,0)</f>
        <v>3354</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2197693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3154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200</v>
      </c>
      <c r="D65" s="964" t="s">
        <v>743</v>
      </c>
      <c r="E65" s="950" t="s">
        <v>744</v>
      </c>
      <c r="F65" s="330">
        <f t="shared" ca="1" si="0"/>
        <v>1E-3</v>
      </c>
      <c r="I65" s="1462" t="s">
        <v>867</v>
      </c>
      <c r="J65" s="1463">
        <v>40</v>
      </c>
      <c r="K65" s="1463">
        <v>30</v>
      </c>
      <c r="L65" s="1463">
        <v>50</v>
      </c>
      <c r="M65" s="1465">
        <v>0.02</v>
      </c>
      <c r="O65" s="1418" t="s">
        <v>403</v>
      </c>
      <c r="P65" s="1419" t="s">
        <v>868</v>
      </c>
      <c r="Q65" s="1420">
        <f ca="1">C40+J29</f>
        <v>2197693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-3354</v>
      </c>
      <c r="D67" s="963" t="s">
        <v>753</v>
      </c>
      <c r="E67" s="968"/>
      <c r="F67" s="969"/>
      <c r="O67" s="1428" t="s">
        <v>405</v>
      </c>
      <c r="P67" s="1419" t="s">
        <v>850</v>
      </c>
      <c r="Q67" s="1466">
        <f ca="1">L51</f>
        <v>677005</v>
      </c>
      <c r="R67" s="1420" t="s">
        <v>870</v>
      </c>
    </row>
    <row r="68" spans="1:18" s="1384" customFormat="1" ht="16.5" thickBot="1">
      <c r="A68" s="947" t="s">
        <v>395</v>
      </c>
      <c r="B68" s="948" t="s">
        <v>774</v>
      </c>
      <c r="C68" s="301">
        <f ca="1">ROUND(C67*(1-((1+F70)/(1+F68))^F69)/(F68-F70),0)</f>
        <v>-71112</v>
      </c>
      <c r="D68" s="965" t="s">
        <v>758</v>
      </c>
      <c r="E68" s="950" t="s">
        <v>759</v>
      </c>
      <c r="F68" s="312">
        <f ca="1">F40</f>
        <v>4.4999999999999998E-2</v>
      </c>
      <c r="O68" s="1428" t="s">
        <v>406</v>
      </c>
      <c r="P68" s="1467" t="s">
        <v>871</v>
      </c>
      <c r="Q68" s="1420">
        <f ca="1">ROUND(Q69-Q70*Q71,0)</f>
        <v>38772</v>
      </c>
      <c r="R68" s="1420" t="s">
        <v>414</v>
      </c>
    </row>
    <row r="69" spans="1:18" s="1384" customFormat="1" ht="13.5" thickBot="1">
      <c r="A69" s="951"/>
      <c r="B69" s="952"/>
      <c r="C69" s="306"/>
      <c r="D69" s="970" t="s">
        <v>762</v>
      </c>
      <c r="E69" s="950" t="s">
        <v>763</v>
      </c>
      <c r="F69" s="333">
        <f ca="1">F41</f>
        <v>70</v>
      </c>
      <c r="O69" s="1428" t="s">
        <v>411</v>
      </c>
      <c r="P69" s="1467" t="s">
        <v>872</v>
      </c>
      <c r="Q69" s="1420">
        <f ca="1">C39</f>
        <v>51789</v>
      </c>
      <c r="R69" s="1420" t="s">
        <v>818</v>
      </c>
    </row>
    <row r="70" spans="1:18" s="1384" customFormat="1" ht="13.5" thickBot="1">
      <c r="A70" s="954"/>
      <c r="B70" s="955"/>
      <c r="C70" s="310"/>
      <c r="D70" s="966"/>
      <c r="E70" s="950" t="s">
        <v>766</v>
      </c>
      <c r="F70" s="1054"/>
      <c r="O70" s="1428" t="s">
        <v>412</v>
      </c>
      <c r="P70" s="1467" t="s">
        <v>873</v>
      </c>
      <c r="Q70" s="1420">
        <f ca="1">C13</f>
        <v>200256</v>
      </c>
      <c r="R70" s="1420" t="s">
        <v>818</v>
      </c>
    </row>
    <row r="71" spans="1:18" s="1384" customFormat="1" ht="13.5" thickBot="1">
      <c r="A71" s="971" t="s">
        <v>396</v>
      </c>
      <c r="B71" s="972" t="s">
        <v>776</v>
      </c>
      <c r="C71" s="336">
        <f ca="1">ROUND(C68/F71,0)</f>
        <v>-1451</v>
      </c>
      <c r="D71" s="973" t="s">
        <v>777</v>
      </c>
      <c r="E71" s="974" t="s">
        <v>778</v>
      </c>
      <c r="F71" s="339">
        <f ca="1">F43</f>
        <v>49.02</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13017</v>
      </c>
      <c r="D75" s="1384"/>
      <c r="E75" s="1384"/>
      <c r="F75" s="1384"/>
      <c r="K75" s="1402"/>
      <c r="L75" s="1384"/>
      <c r="O75" s="1418" t="s">
        <v>409</v>
      </c>
      <c r="P75" s="1419" t="s">
        <v>838</v>
      </c>
      <c r="Q75" s="1420">
        <f ca="1">Q65+Q66</f>
        <v>2197693</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0.749</v>
      </c>
    </row>
    <row r="80" spans="1:18">
      <c r="B80" s="340" t="s">
        <v>800</v>
      </c>
      <c r="C80" s="274">
        <f ca="1">ROUND(C75/C39,3)</f>
        <v>0.251</v>
      </c>
    </row>
    <row r="81" spans="2:3">
      <c r="B81" s="270" t="s">
        <v>801</v>
      </c>
      <c r="C81" s="238"/>
    </row>
    <row r="82" spans="2:3">
      <c r="B82" s="273" t="s">
        <v>802</v>
      </c>
      <c r="C82" s="275">
        <f ca="1">1-C83</f>
        <v>0.90900000000000003</v>
      </c>
    </row>
    <row r="83" spans="2:3">
      <c r="B83" s="273" t="s">
        <v>803</v>
      </c>
      <c r="C83" s="274">
        <f ca="1">ROUND(C13/C40,3)</f>
        <v>9.0999999999999998E-2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5" t="s">
        <v>2318</v>
      </c>
      <c r="B2" s="2841" t="e">
        <f>IF(D2="——",C40,C40+E2)</f>
        <v>#DIV/0!</v>
      </c>
      <c r="C2" s="2842" t="s">
        <v>2319</v>
      </c>
      <c r="D2" s="3441" t="s">
        <v>3363</v>
      </c>
      <c r="E2" s="3442"/>
      <c r="F2" s="2844"/>
      <c r="G2" s="2845"/>
      <c r="H2" s="2846"/>
      <c r="I2" s="2847"/>
      <c r="J2" s="3666" t="s">
        <v>2320</v>
      </c>
      <c r="K2" s="3667"/>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68" t="s">
        <v>2330</v>
      </c>
      <c r="K3" s="3669"/>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68" t="s">
        <v>2332</v>
      </c>
      <c r="K4" s="3669"/>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74" t="s">
        <v>2336</v>
      </c>
      <c r="B6" s="3675"/>
      <c r="C6" s="3676"/>
      <c r="D6" s="2868"/>
      <c r="E6" s="2869"/>
      <c r="F6" s="2870"/>
      <c r="G6" s="2871"/>
      <c r="H6" s="2846"/>
      <c r="I6" s="2847"/>
      <c r="J6" s="3660">
        <v>1</v>
      </c>
      <c r="K6" s="3661"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60"/>
      <c r="K7" s="3662"/>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77" t="s">
        <v>2350</v>
      </c>
      <c r="C8" s="3678"/>
      <c r="D8" s="2887" t="s">
        <v>2351</v>
      </c>
      <c r="E8" s="2888" t="s">
        <v>2352</v>
      </c>
      <c r="F8" s="2889" t="s">
        <v>2353</v>
      </c>
      <c r="G8" s="2890"/>
      <c r="H8" s="2846"/>
      <c r="I8" s="2847"/>
      <c r="J8" s="3660"/>
      <c r="K8" s="3662"/>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77" t="s">
        <v>2356</v>
      </c>
      <c r="C9" s="3678"/>
      <c r="D9" s="2887">
        <f>ROUND(D6*E9,0)</f>
        <v>0</v>
      </c>
      <c r="E9" s="2891"/>
      <c r="F9" s="2892" t="s">
        <v>2357</v>
      </c>
      <c r="G9" s="2871"/>
      <c r="H9" s="2846"/>
      <c r="I9" s="2847"/>
      <c r="J9" s="3660"/>
      <c r="K9" s="3662"/>
      <c r="L9" s="2881" t="s">
        <v>2358</v>
      </c>
      <c r="M9" s="2882"/>
      <c r="N9" s="2858"/>
      <c r="O9" s="2883"/>
      <c r="P9" s="2883"/>
      <c r="Q9" s="2884">
        <v>365</v>
      </c>
      <c r="R9" s="2885">
        <f t="shared" si="0"/>
        <v>0</v>
      </c>
      <c r="S9" s="2839"/>
      <c r="T9" s="2839"/>
      <c r="U9" s="2839"/>
      <c r="V9" s="2847"/>
    </row>
    <row r="10" spans="1:22" s="2851" customFormat="1" ht="13.15" customHeight="1">
      <c r="A10" s="2886">
        <v>2</v>
      </c>
      <c r="B10" s="3677" t="s">
        <v>2359</v>
      </c>
      <c r="C10" s="3678"/>
      <c r="D10" s="2887">
        <f>ROUND(D6*E10,0)</f>
        <v>0</v>
      </c>
      <c r="E10" s="2891"/>
      <c r="F10" s="2892" t="s">
        <v>2360</v>
      </c>
      <c r="G10" s="2871"/>
      <c r="H10" s="2846"/>
      <c r="I10" s="2847"/>
      <c r="J10" s="3660"/>
      <c r="K10" s="3662"/>
      <c r="L10" s="2881" t="s">
        <v>2361</v>
      </c>
      <c r="M10" s="2882"/>
      <c r="N10" s="2858"/>
      <c r="O10" s="2883"/>
      <c r="P10" s="2883"/>
      <c r="Q10" s="2884">
        <v>365</v>
      </c>
      <c r="R10" s="2885">
        <f t="shared" si="0"/>
        <v>0</v>
      </c>
      <c r="S10" s="2839"/>
      <c r="T10" s="2839"/>
      <c r="U10" s="2839"/>
      <c r="V10" s="2847"/>
    </row>
    <row r="11" spans="1:22" s="2851" customFormat="1" ht="13.15" customHeight="1">
      <c r="A11" s="2886">
        <v>3</v>
      </c>
      <c r="B11" s="3677" t="s">
        <v>2362</v>
      </c>
      <c r="C11" s="3678"/>
      <c r="D11" s="2887">
        <f>D12+D14+D15+D16</f>
        <v>0</v>
      </c>
      <c r="E11" s="2893" t="e">
        <f>D11/D6</f>
        <v>#DIV/0!</v>
      </c>
      <c r="F11" s="2889"/>
      <c r="G11" s="2890"/>
      <c r="H11" s="2846"/>
      <c r="I11" s="2847"/>
      <c r="J11" s="3660"/>
      <c r="K11" s="3662"/>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70" t="s">
        <v>2365</v>
      </c>
      <c r="C12" s="3671"/>
      <c r="D12" s="2895">
        <f>ROUND(D13*1.2%*(1-30%),0)</f>
        <v>0</v>
      </c>
      <c r="E12" s="2896">
        <v>1.2E-2</v>
      </c>
      <c r="F12" s="2889" t="s">
        <v>2366</v>
      </c>
      <c r="G12" s="2890"/>
      <c r="H12" s="2846"/>
      <c r="I12" s="2847"/>
      <c r="J12" s="3660"/>
      <c r="K12" s="3662"/>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60"/>
      <c r="K13" s="3662"/>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70" t="s">
        <v>2371</v>
      </c>
      <c r="C14" s="3671"/>
      <c r="D14" s="2895">
        <f>ROUND(E14*B5/10000,0)</f>
        <v>0</v>
      </c>
      <c r="E14" s="2884"/>
      <c r="F14" s="2889" t="s">
        <v>2372</v>
      </c>
      <c r="G14" s="2890"/>
      <c r="H14" s="2846"/>
      <c r="I14" s="2847"/>
      <c r="J14" s="3660"/>
      <c r="K14" s="3663"/>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70" t="s">
        <v>2375</v>
      </c>
      <c r="C15" s="3671"/>
      <c r="D15" s="2895">
        <f>ROUND(D6*E15,0)</f>
        <v>0</v>
      </c>
      <c r="E15" s="2896">
        <v>5.5E-2</v>
      </c>
      <c r="F15" s="2889" t="s">
        <v>2376</v>
      </c>
      <c r="G15" s="2871"/>
      <c r="H15" s="2846"/>
      <c r="I15" s="2847"/>
      <c r="J15" s="3660">
        <v>2</v>
      </c>
      <c r="K15" s="3661"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70" t="s">
        <v>2384</v>
      </c>
      <c r="C16" s="3671"/>
      <c r="D16" s="2906">
        <f>D6*E16</f>
        <v>0</v>
      </c>
      <c r="E16" s="2907"/>
      <c r="F16" s="2892" t="s">
        <v>2385</v>
      </c>
      <c r="G16" s="2871"/>
      <c r="H16" s="2846"/>
      <c r="I16" s="2847"/>
      <c r="J16" s="3660"/>
      <c r="K16" s="3662"/>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72" t="s">
        <v>2387</v>
      </c>
      <c r="C17" s="3673"/>
      <c r="D17" s="2909">
        <f>ROUND(D6*E17,0)</f>
        <v>0</v>
      </c>
      <c r="E17" s="2910"/>
      <c r="F17" s="2911" t="s">
        <v>2388</v>
      </c>
      <c r="G17" s="2871"/>
      <c r="H17" s="2846"/>
      <c r="I17" s="2847"/>
      <c r="J17" s="3660"/>
      <c r="K17" s="3662"/>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60"/>
      <c r="K18" s="3662"/>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60"/>
      <c r="K19" s="3663"/>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0">
        <v>3</v>
      </c>
      <c r="K20" s="3661"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60"/>
      <c r="K21" s="3662"/>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60"/>
      <c r="K22" s="3662"/>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60"/>
      <c r="K23" s="3662"/>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60"/>
      <c r="K24" s="3663"/>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64">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5"/>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66" t="s">
        <v>2320</v>
      </c>
      <c r="K32" s="3667"/>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68" t="s">
        <v>2330</v>
      </c>
      <c r="K33" s="3669"/>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68" t="s">
        <v>2332</v>
      </c>
      <c r="K34" s="3669"/>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60">
        <v>1</v>
      </c>
      <c r="K36" s="3661"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60"/>
      <c r="K37" s="3662"/>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0"/>
      <c r="K38" s="3662"/>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60"/>
      <c r="K39" s="3662"/>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60"/>
      <c r="K40" s="3663"/>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4">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5"/>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219.76929999999999</v>
      </c>
      <c r="C2" s="1872" t="s">
        <v>1651</v>
      </c>
      <c r="D2" s="1873" t="s">
        <v>1652</v>
      </c>
      <c r="E2" s="2605">
        <f>SUM(E6:E13)</f>
        <v>49.02</v>
      </c>
      <c r="F2" s="2705"/>
      <c r="G2" s="1489"/>
      <c r="H2" s="1489"/>
      <c r="I2" s="1489"/>
      <c r="J2" s="1489"/>
      <c r="K2" s="1489"/>
      <c r="L2" s="1489"/>
      <c r="M2" s="1489"/>
      <c r="N2" s="1489"/>
      <c r="O2" s="1489"/>
      <c r="P2" s="1489"/>
      <c r="Q2" s="1489"/>
      <c r="R2" s="1489"/>
      <c r="S2" s="1489"/>
    </row>
    <row r="3" spans="1:22" ht="15.75">
      <c r="A3" s="1870" t="s">
        <v>686</v>
      </c>
      <c r="B3" s="2599">
        <f ca="1">ROUND(B2*10000/E2,0)</f>
        <v>44833</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79" t="s">
        <v>1654</v>
      </c>
      <c r="C5" s="3680"/>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219.76929999999999</v>
      </c>
      <c r="C6" s="1872" t="s">
        <v>1651</v>
      </c>
      <c r="D6" s="2707"/>
      <c r="E6" s="2604">
        <f>IF(OR(A6=0,F6="否"),0,'数据-取费表'!K6+'数据-取费表'!S6)</f>
        <v>49.02</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90" zoomScaleNormal="60" zoomScaleSheetLayoutView="90" workbookViewId="0">
      <selection activeCell="I17" sqref="I1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t="s">
        <v>3427</v>
      </c>
      <c r="F1" s="1879" t="s">
        <v>3428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335.1497</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68370</v>
      </c>
      <c r="C3" s="354" t="s">
        <v>1665</v>
      </c>
      <c r="D3" s="353">
        <f>IF(D1="",'数据-汇总表'!E3,SUMIF('数据-汇总表'!$C19:$C33,D1,'数据-汇总表'!$E19:$E33))</f>
        <v>49.02</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9" t="s">
        <v>1667</v>
      </c>
      <c r="D4" s="3700"/>
      <c r="E4" s="3701" t="s">
        <v>1668</v>
      </c>
      <c r="F4" s="3702"/>
      <c r="G4" s="3699" t="s">
        <v>1669</v>
      </c>
      <c r="H4" s="3700"/>
      <c r="I4" s="3699" t="s">
        <v>1670</v>
      </c>
      <c r="J4" s="3700"/>
      <c r="K4" s="1889" t="s">
        <v>1671</v>
      </c>
      <c r="L4" s="2713"/>
      <c r="M4" s="2714"/>
      <c r="N4" s="2714"/>
      <c r="O4" s="2714"/>
      <c r="P4" s="3703" t="s">
        <v>1672</v>
      </c>
      <c r="Q4" s="3704"/>
      <c r="R4" s="3709" t="s">
        <v>1668</v>
      </c>
      <c r="S4" s="3710"/>
      <c r="T4" s="3709" t="s">
        <v>1669</v>
      </c>
      <c r="U4" s="3710"/>
      <c r="V4" s="3715" t="s">
        <v>1670</v>
      </c>
      <c r="W4" s="3715"/>
      <c r="X4" s="1355"/>
      <c r="Y4" s="3709" t="s">
        <v>1672</v>
      </c>
      <c r="Z4" s="3710"/>
      <c r="AA4" s="3696" t="s">
        <v>1668</v>
      </c>
      <c r="AB4" s="3696" t="s">
        <v>1669</v>
      </c>
      <c r="AC4" s="3696" t="s">
        <v>1670</v>
      </c>
    </row>
    <row r="5" spans="1:29" ht="15">
      <c r="A5" s="358"/>
      <c r="B5" s="359"/>
      <c r="C5" s="3723" t="s">
        <v>3440</v>
      </c>
      <c r="D5" s="3719"/>
      <c r="E5" s="3726" t="str">
        <f>C5</f>
        <v>翠林一里</v>
      </c>
      <c r="F5" s="3727"/>
      <c r="G5" s="3718" t="str">
        <f>C5</f>
        <v>翠林一里</v>
      </c>
      <c r="H5" s="3719"/>
      <c r="I5" s="3718" t="str">
        <f>C5</f>
        <v>翠林一里</v>
      </c>
      <c r="J5" s="3719"/>
      <c r="K5" s="1890"/>
      <c r="L5" s="2713"/>
      <c r="M5" s="2714"/>
      <c r="N5" s="2714"/>
      <c r="O5" s="2714"/>
      <c r="P5" s="3705"/>
      <c r="Q5" s="3706"/>
      <c r="R5" s="3711"/>
      <c r="S5" s="3712"/>
      <c r="T5" s="3711"/>
      <c r="U5" s="3712"/>
      <c r="V5" s="3715"/>
      <c r="W5" s="3715"/>
      <c r="X5" s="1355"/>
      <c r="Y5" s="3711"/>
      <c r="Z5" s="3712"/>
      <c r="AA5" s="3697"/>
      <c r="AB5" s="3697"/>
      <c r="AC5" s="3697"/>
    </row>
    <row r="6" spans="1:29" ht="15.75" thickBot="1">
      <c r="A6" s="360"/>
      <c r="B6" s="361"/>
      <c r="C6" s="3716" t="s">
        <v>1677</v>
      </c>
      <c r="D6" s="3717"/>
      <c r="E6" s="3724" t="s">
        <v>1677</v>
      </c>
      <c r="F6" s="3725"/>
      <c r="G6" s="3716" t="s">
        <v>1677</v>
      </c>
      <c r="H6" s="3717"/>
      <c r="I6" s="3716" t="s">
        <v>1677</v>
      </c>
      <c r="J6" s="3717"/>
      <c r="K6" s="1890" t="s">
        <v>1678</v>
      </c>
      <c r="L6" s="2713"/>
      <c r="M6" s="2714"/>
      <c r="N6" s="2714"/>
      <c r="O6" s="27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45052</v>
      </c>
      <c r="D7" s="365">
        <v>100</v>
      </c>
      <c r="E7" s="366">
        <v>45017</v>
      </c>
      <c r="F7" s="367">
        <f>SUMIF(58:58,YEAR(E7)&amp;"-"&amp;MONTH(E7),59:59)</f>
        <v>100</v>
      </c>
      <c r="G7" s="366">
        <v>44958</v>
      </c>
      <c r="H7" s="365">
        <f>SUMIF(58:58,YEAR(G7)&amp;"-"&amp;MONTH(G7),59:59)</f>
        <v>100</v>
      </c>
      <c r="I7" s="366">
        <v>44927</v>
      </c>
      <c r="J7" s="365">
        <f>SUMIF(58:58,YEAR(I7)&amp;"-"&amp;MONTH(I7),59:59)</f>
        <v>100</v>
      </c>
      <c r="K7" s="1891"/>
      <c r="L7" s="2715"/>
      <c r="M7" s="2716"/>
      <c r="N7" s="2716"/>
      <c r="O7" s="2716"/>
      <c r="P7" s="3720" t="s">
        <v>1680</v>
      </c>
      <c r="Q7" s="3722"/>
      <c r="R7" s="701" t="s">
        <v>20</v>
      </c>
      <c r="S7" s="702">
        <f t="shared" ref="S7:S15" si="0">F7</f>
        <v>100</v>
      </c>
      <c r="T7" s="701" t="s">
        <v>20</v>
      </c>
      <c r="U7" s="702">
        <f t="shared" ref="U7:U15" si="1">H7</f>
        <v>100</v>
      </c>
      <c r="V7" s="701" t="s">
        <v>20</v>
      </c>
      <c r="W7" s="702">
        <f t="shared" ref="W7:W15" si="2">J7</f>
        <v>100</v>
      </c>
      <c r="X7" s="703"/>
      <c r="Y7" s="3720" t="s">
        <v>1680</v>
      </c>
      <c r="Z7" s="3721"/>
      <c r="AA7" s="704">
        <f>D7/F7</f>
        <v>1</v>
      </c>
      <c r="AB7" s="704">
        <f>D7/H7</f>
        <v>1</v>
      </c>
      <c r="AC7" s="704">
        <f>D7/J7</f>
        <v>1</v>
      </c>
    </row>
    <row r="8" spans="1:29" s="108" customFormat="1" ht="15.75" thickBot="1">
      <c r="A8" s="362" t="s">
        <v>1681</v>
      </c>
      <c r="B8" s="363"/>
      <c r="C8" s="368" t="s">
        <v>3421</v>
      </c>
      <c r="D8" s="365">
        <v>100</v>
      </c>
      <c r="E8" s="1892" t="s">
        <v>3421</v>
      </c>
      <c r="F8" s="367">
        <f>SUMIF(61:61,E8,62:62)-SUMIF(61:61,C8,62:62)+100</f>
        <v>100</v>
      </c>
      <c r="G8" s="368" t="s">
        <v>3421</v>
      </c>
      <c r="H8" s="365">
        <f>SUMIF(61:61,G8,62:62)-SUMIF(61:61,C8,62:62)+100</f>
        <v>100</v>
      </c>
      <c r="I8" s="1892" t="s">
        <v>3421</v>
      </c>
      <c r="J8" s="365">
        <f>SUMIF(61:61,I8,62:62)-SUMIF(61:61,C8,62:62)+100</f>
        <v>100</v>
      </c>
      <c r="K8" s="1891"/>
      <c r="L8" s="2715"/>
      <c r="M8" s="2716"/>
      <c r="N8" s="2716"/>
      <c r="O8" s="2716"/>
      <c r="P8" s="3720" t="s">
        <v>1683</v>
      </c>
      <c r="Q8" s="3721"/>
      <c r="R8" s="701" t="s">
        <v>20</v>
      </c>
      <c r="S8" s="702">
        <f t="shared" si="0"/>
        <v>100</v>
      </c>
      <c r="T8" s="701" t="s">
        <v>20</v>
      </c>
      <c r="U8" s="702">
        <f t="shared" si="1"/>
        <v>100</v>
      </c>
      <c r="V8" s="701" t="s">
        <v>20</v>
      </c>
      <c r="W8" s="702">
        <f t="shared" si="2"/>
        <v>100</v>
      </c>
      <c r="X8" s="703"/>
      <c r="Y8" s="3720" t="s">
        <v>1683</v>
      </c>
      <c r="Z8" s="372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95"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9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9"/>
      <c r="M11" s="2714"/>
      <c r="N11" s="2714"/>
      <c r="O11" s="2714"/>
      <c r="P11" s="3695"/>
      <c r="Q11" s="1343" t="str">
        <f t="shared" si="6"/>
        <v>容积率</v>
      </c>
      <c r="R11" s="701" t="s">
        <v>18</v>
      </c>
      <c r="S11" s="702">
        <f t="shared" si="0"/>
        <v>100</v>
      </c>
      <c r="T11" s="701" t="s">
        <v>18</v>
      </c>
      <c r="U11" s="702">
        <f t="shared" si="1"/>
        <v>100</v>
      </c>
      <c r="V11" s="701" t="s">
        <v>18</v>
      </c>
      <c r="W11" s="702">
        <f t="shared" si="2"/>
        <v>100</v>
      </c>
      <c r="X11" s="703"/>
      <c r="Y11" s="3559"/>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95"/>
      <c r="Q12" s="1343">
        <f t="shared" si="6"/>
        <v>111</v>
      </c>
      <c r="R12" s="701" t="s">
        <v>18</v>
      </c>
      <c r="S12" s="702">
        <f t="shared" si="0"/>
        <v>100</v>
      </c>
      <c r="T12" s="701" t="s">
        <v>18</v>
      </c>
      <c r="U12" s="702">
        <f t="shared" si="1"/>
        <v>100</v>
      </c>
      <c r="V12" s="701" t="s">
        <v>18</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95"/>
      <c r="Q13" s="1343">
        <f t="shared" si="6"/>
        <v>111</v>
      </c>
      <c r="R13" s="701" t="s">
        <v>18</v>
      </c>
      <c r="S13" s="702">
        <f t="shared" si="0"/>
        <v>100</v>
      </c>
      <c r="T13" s="701" t="s">
        <v>18</v>
      </c>
      <c r="U13" s="702">
        <f t="shared" si="1"/>
        <v>100</v>
      </c>
      <c r="V13" s="701" t="s">
        <v>18</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95"/>
      <c r="Q14" s="1343">
        <f t="shared" si="6"/>
        <v>111</v>
      </c>
      <c r="R14" s="701" t="s">
        <v>18</v>
      </c>
      <c r="S14" s="702">
        <f t="shared" si="0"/>
        <v>100</v>
      </c>
      <c r="T14" s="701" t="s">
        <v>18</v>
      </c>
      <c r="U14" s="702">
        <f t="shared" si="1"/>
        <v>100</v>
      </c>
      <c r="V14" s="701" t="s">
        <v>18</v>
      </c>
      <c r="W14" s="702">
        <f t="shared" si="2"/>
        <v>100</v>
      </c>
      <c r="X14" s="703"/>
      <c r="Y14" s="355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0"/>
      <c r="M15" s="2714"/>
      <c r="N15" s="2714"/>
      <c r="O15" s="2714"/>
      <c r="P15" s="3693" t="s">
        <v>1691</v>
      </c>
      <c r="Q15" s="1352" t="str">
        <f t="shared" si="6"/>
        <v>居住社区成熟度</v>
      </c>
      <c r="R15" s="705" t="s">
        <v>18</v>
      </c>
      <c r="S15" s="706">
        <f t="shared" si="0"/>
        <v>100</v>
      </c>
      <c r="T15" s="705" t="s">
        <v>18</v>
      </c>
      <c r="U15" s="706">
        <f t="shared" si="1"/>
        <v>100</v>
      </c>
      <c r="V15" s="705" t="s">
        <v>18</v>
      </c>
      <c r="W15" s="706">
        <f t="shared" si="2"/>
        <v>100</v>
      </c>
      <c r="X15" s="1355"/>
      <c r="Y15" s="3686" t="s">
        <v>1691</v>
      </c>
      <c r="Z15" s="1356" t="str">
        <f t="shared" si="7"/>
        <v>居住社区成熟度</v>
      </c>
      <c r="AA15" s="1353">
        <f t="shared" si="3"/>
        <v>1</v>
      </c>
      <c r="AB15" s="1353">
        <f t="shared" si="4"/>
        <v>1</v>
      </c>
      <c r="AC15" s="1353">
        <f t="shared" si="5"/>
        <v>1</v>
      </c>
    </row>
    <row r="16" spans="1:29" ht="15">
      <c r="A16" s="379"/>
      <c r="B16" s="397"/>
      <c r="C16" s="398" t="s">
        <v>3441</v>
      </c>
      <c r="D16" s="399"/>
      <c r="E16" s="398" t="s">
        <v>3441</v>
      </c>
      <c r="F16" s="399"/>
      <c r="G16" s="398" t="s">
        <v>3441</v>
      </c>
      <c r="H16" s="401"/>
      <c r="I16" s="398" t="s">
        <v>3441</v>
      </c>
      <c r="J16" s="399"/>
      <c r="K16" s="1899"/>
      <c r="L16" s="2720"/>
      <c r="M16" s="2714"/>
      <c r="N16" s="2714"/>
      <c r="O16" s="2714"/>
      <c r="P16" s="3694"/>
      <c r="Q16" s="1352"/>
      <c r="R16" s="705"/>
      <c r="S16" s="706"/>
      <c r="T16" s="705"/>
      <c r="U16" s="706"/>
      <c r="V16" s="705"/>
      <c r="W16" s="706"/>
      <c r="X16" s="1355"/>
      <c r="Y16" s="368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0"/>
      <c r="M17" s="2714"/>
      <c r="N17" s="2714"/>
      <c r="O17" s="2714"/>
      <c r="P17" s="3694"/>
      <c r="Q17" s="1352" t="str">
        <f>B17</f>
        <v>交通便捷度</v>
      </c>
      <c r="R17" s="705" t="s">
        <v>18</v>
      </c>
      <c r="S17" s="706">
        <f>F17</f>
        <v>100</v>
      </c>
      <c r="T17" s="705" t="s">
        <v>18</v>
      </c>
      <c r="U17" s="706">
        <f>H17</f>
        <v>100</v>
      </c>
      <c r="V17" s="705" t="s">
        <v>18</v>
      </c>
      <c r="W17" s="706">
        <f>J17</f>
        <v>100</v>
      </c>
      <c r="X17" s="1355"/>
      <c r="Y17" s="3687"/>
      <c r="Z17" s="1356" t="str">
        <f>Q17</f>
        <v>交通便捷度</v>
      </c>
      <c r="AA17" s="1353">
        <f t="shared" si="3"/>
        <v>1</v>
      </c>
      <c r="AB17" s="1353">
        <f t="shared" si="4"/>
        <v>1</v>
      </c>
      <c r="AC17" s="1353">
        <f t="shared" si="5"/>
        <v>1</v>
      </c>
    </row>
    <row r="18" spans="1:29" ht="15">
      <c r="A18" s="379"/>
      <c r="B18" s="407"/>
      <c r="C18" s="1901" t="s">
        <v>3441</v>
      </c>
      <c r="D18" s="401"/>
      <c r="E18" s="1901" t="s">
        <v>3441</v>
      </c>
      <c r="F18" s="401"/>
      <c r="G18" s="1901" t="s">
        <v>3441</v>
      </c>
      <c r="H18" s="399"/>
      <c r="I18" s="1901" t="s">
        <v>3441</v>
      </c>
      <c r="J18" s="399"/>
      <c r="K18" s="1899"/>
      <c r="L18" s="2720"/>
      <c r="M18" s="2714"/>
      <c r="N18" s="2714"/>
      <c r="O18" s="2714"/>
      <c r="P18" s="3694"/>
      <c r="Q18" s="1352"/>
      <c r="R18" s="705"/>
      <c r="S18" s="706"/>
      <c r="T18" s="705"/>
      <c r="U18" s="706"/>
      <c r="V18" s="705"/>
      <c r="W18" s="706"/>
      <c r="X18" s="1355"/>
      <c r="Y18" s="368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0"/>
      <c r="M19" s="2714"/>
      <c r="N19" s="2714"/>
      <c r="O19" s="2714"/>
      <c r="P19" s="3694"/>
      <c r="Q19" s="1352" t="str">
        <f>B19</f>
        <v>公共配套设施</v>
      </c>
      <c r="R19" s="705" t="s">
        <v>18</v>
      </c>
      <c r="S19" s="706">
        <f>F19</f>
        <v>100</v>
      </c>
      <c r="T19" s="705" t="s">
        <v>18</v>
      </c>
      <c r="U19" s="706">
        <f>H19</f>
        <v>100</v>
      </c>
      <c r="V19" s="705" t="s">
        <v>18</v>
      </c>
      <c r="W19" s="706">
        <f>J19</f>
        <v>100</v>
      </c>
      <c r="X19" s="1355"/>
      <c r="Y19" s="3687"/>
      <c r="Z19" s="1356" t="str">
        <f>Q19</f>
        <v>公共配套设施</v>
      </c>
      <c r="AA19" s="1353">
        <f t="shared" si="3"/>
        <v>1</v>
      </c>
      <c r="AB19" s="1353">
        <f t="shared" si="4"/>
        <v>1</v>
      </c>
      <c r="AC19" s="1353">
        <f t="shared" si="5"/>
        <v>1</v>
      </c>
    </row>
    <row r="20" spans="1:29" ht="15">
      <c r="A20" s="379"/>
      <c r="B20" s="407"/>
      <c r="C20" s="398" t="s">
        <v>3441</v>
      </c>
      <c r="D20" s="399"/>
      <c r="E20" s="398" t="s">
        <v>3441</v>
      </c>
      <c r="F20" s="399"/>
      <c r="G20" s="398" t="s">
        <v>3441</v>
      </c>
      <c r="H20" s="399"/>
      <c r="I20" s="398" t="s">
        <v>3441</v>
      </c>
      <c r="J20" s="399"/>
      <c r="K20" s="1899"/>
      <c r="L20" s="2720"/>
      <c r="M20" s="2714"/>
      <c r="N20" s="2714"/>
      <c r="O20" s="2714"/>
      <c r="P20" s="3694"/>
      <c r="Q20" s="1352"/>
      <c r="R20" s="705"/>
      <c r="S20" s="706"/>
      <c r="T20" s="705"/>
      <c r="U20" s="706"/>
      <c r="V20" s="705"/>
      <c r="W20" s="706"/>
      <c r="X20" s="1355"/>
      <c r="Y20" s="368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2</v>
      </c>
      <c r="L21" s="2720"/>
      <c r="M21" s="2714"/>
      <c r="N21" s="2714"/>
      <c r="O21" s="2714"/>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t="s">
        <v>3442</v>
      </c>
      <c r="D22" s="399"/>
      <c r="E22" s="1901" t="s">
        <v>3442</v>
      </c>
      <c r="F22" s="399"/>
      <c r="G22" s="1901" t="s">
        <v>3442</v>
      </c>
      <c r="H22" s="399"/>
      <c r="I22" s="1901" t="s">
        <v>3442</v>
      </c>
      <c r="J22" s="399"/>
      <c r="K22" s="1905"/>
      <c r="L22" s="2720"/>
      <c r="M22" s="2714"/>
      <c r="N22" s="2714"/>
      <c r="O22" s="2714"/>
      <c r="P22" s="3694"/>
      <c r="Q22" s="1352"/>
      <c r="R22" s="705"/>
      <c r="S22" s="706"/>
      <c r="T22" s="705"/>
      <c r="U22" s="706"/>
      <c r="V22" s="705"/>
      <c r="W22" s="706"/>
      <c r="X22" s="1355"/>
      <c r="Y22" s="368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0"/>
      <c r="M23" s="2714"/>
      <c r="N23" s="2714"/>
      <c r="O23" s="2714"/>
      <c r="P23" s="3694"/>
      <c r="Q23" s="1352" t="str">
        <f>B23</f>
        <v>自然及人文环境</v>
      </c>
      <c r="R23" s="705" t="s">
        <v>18</v>
      </c>
      <c r="S23" s="706">
        <f>F23</f>
        <v>100</v>
      </c>
      <c r="T23" s="705" t="s">
        <v>18</v>
      </c>
      <c r="U23" s="706">
        <f>H23</f>
        <v>100</v>
      </c>
      <c r="V23" s="705" t="s">
        <v>18</v>
      </c>
      <c r="W23" s="706">
        <f>J23</f>
        <v>100</v>
      </c>
      <c r="X23" s="1355"/>
      <c r="Y23" s="3687"/>
      <c r="Z23" s="1356" t="str">
        <f>Q23</f>
        <v>自然及人文环境</v>
      </c>
      <c r="AA23" s="1353">
        <f>D23/F23</f>
        <v>1</v>
      </c>
      <c r="AB23" s="1353">
        <f>D23/H23</f>
        <v>1</v>
      </c>
      <c r="AC23" s="1353">
        <f>D23/J23</f>
        <v>1</v>
      </c>
    </row>
    <row r="24" spans="1:29" ht="15">
      <c r="A24" s="379"/>
      <c r="B24" s="407"/>
      <c r="C24" s="398" t="s">
        <v>3441</v>
      </c>
      <c r="D24" s="399"/>
      <c r="E24" s="398" t="s">
        <v>3441</v>
      </c>
      <c r="F24" s="399"/>
      <c r="G24" s="398" t="s">
        <v>3441</v>
      </c>
      <c r="H24" s="399"/>
      <c r="I24" s="398" t="s">
        <v>3441</v>
      </c>
      <c r="J24" s="399"/>
      <c r="K24" s="1899"/>
      <c r="L24" s="2720"/>
      <c r="M24" s="2714"/>
      <c r="N24" s="2714"/>
      <c r="O24" s="2714"/>
      <c r="P24" s="3694"/>
      <c r="Q24" s="1352"/>
      <c r="R24" s="705"/>
      <c r="S24" s="706"/>
      <c r="T24" s="705"/>
      <c r="U24" s="706"/>
      <c r="V24" s="705"/>
      <c r="W24" s="706"/>
      <c r="X24" s="1355"/>
      <c r="Y24" s="368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9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7"/>
      <c r="Z25" s="1356" t="str">
        <f>Q25</f>
        <v>楼层-1</v>
      </c>
      <c r="AA25" s="1353">
        <f t="shared" ref="AA25:AA46" si="15">D25/F25</f>
        <v>1</v>
      </c>
      <c r="AB25" s="1353">
        <f t="shared" ref="AB25:AB46" si="16">D25/H25</f>
        <v>1</v>
      </c>
      <c r="AC25" s="1353">
        <f t="shared" ref="AC25:AC46" si="17">D25/J25</f>
        <v>1</v>
      </c>
    </row>
    <row r="26" spans="1:29" ht="15">
      <c r="A26" s="379"/>
      <c r="B26" s="375" t="s">
        <v>1693</v>
      </c>
      <c r="C26" s="411" t="s">
        <v>3445</v>
      </c>
      <c r="D26" s="386">
        <v>100</v>
      </c>
      <c r="E26" s="1906" t="s">
        <v>3445</v>
      </c>
      <c r="F26" s="386">
        <f>SUMIF(88:88,E26,89:89)-SUMIF(88:88,C26,89:89)+100</f>
        <v>100</v>
      </c>
      <c r="G26" s="1907" t="s">
        <v>3445</v>
      </c>
      <c r="H26" s="386">
        <f>SUMIF(88:88,G26,89:89)-SUMIF(88:88,C26,89:89)+100</f>
        <v>100</v>
      </c>
      <c r="I26" s="1907" t="s">
        <v>3443</v>
      </c>
      <c r="J26" s="386">
        <f>SUMIF(88:88,I26,89:89)-SUMIF(88:88,C26,89:89)+100</f>
        <v>101</v>
      </c>
      <c r="K26" s="377">
        <v>1</v>
      </c>
      <c r="L26" s="2720"/>
      <c r="M26" s="2714"/>
      <c r="N26" s="2714"/>
      <c r="O26" s="2714"/>
      <c r="P26" s="3694"/>
      <c r="Q26" s="1352" t="str">
        <f t="shared" si="11"/>
        <v>朝向</v>
      </c>
      <c r="R26" s="705" t="s">
        <v>18</v>
      </c>
      <c r="S26" s="706">
        <f t="shared" si="12"/>
        <v>100</v>
      </c>
      <c r="T26" s="705" t="s">
        <v>18</v>
      </c>
      <c r="U26" s="706">
        <f t="shared" si="13"/>
        <v>100</v>
      </c>
      <c r="V26" s="705" t="s">
        <v>18</v>
      </c>
      <c r="W26" s="706">
        <f t="shared" si="14"/>
        <v>101</v>
      </c>
      <c r="X26" s="1355"/>
      <c r="Y26" s="3687"/>
      <c r="Z26" s="1356" t="str">
        <f>Q26</f>
        <v>朝向</v>
      </c>
      <c r="AA26" s="1353">
        <f t="shared" si="15"/>
        <v>1</v>
      </c>
      <c r="AB26" s="1353">
        <f t="shared" si="16"/>
        <v>1</v>
      </c>
      <c r="AC26" s="1353">
        <f t="shared" si="17"/>
        <v>0.99009900990099009</v>
      </c>
    </row>
    <row r="27" spans="1:29" s="108" customFormat="1" ht="15">
      <c r="A27" s="382"/>
      <c r="B27" s="1133">
        <v>111</v>
      </c>
      <c r="C27" s="3454" t="s">
        <v>3422</v>
      </c>
      <c r="D27" s="413">
        <v>100</v>
      </c>
      <c r="E27" s="3455" t="s">
        <v>3423</v>
      </c>
      <c r="F27" s="413">
        <f>SUMIF(90:90,E27,91:91)-SUMIF(90:90,C27,91:91)+100</f>
        <v>98</v>
      </c>
      <c r="G27" s="3458" t="s">
        <v>3423</v>
      </c>
      <c r="H27" s="413">
        <f>SUMIF(90:90,G27,91:91)-SUMIF(90:90,C27,91:91)+100</f>
        <v>98</v>
      </c>
      <c r="I27" s="3458" t="s">
        <v>3422</v>
      </c>
      <c r="J27" s="413">
        <f>SUMIF(90:90,I27,91:91)-SUMIF(90:90,C27,91:91)+100</f>
        <v>100</v>
      </c>
      <c r="K27" s="1894"/>
      <c r="L27" s="2715"/>
      <c r="M27" s="2716"/>
      <c r="N27" s="2716"/>
      <c r="O27" s="2716"/>
      <c r="P27" s="3694"/>
      <c r="Q27" s="1343">
        <f t="shared" si="11"/>
        <v>111</v>
      </c>
      <c r="R27" s="701" t="s">
        <v>18</v>
      </c>
      <c r="S27" s="702">
        <f t="shared" si="12"/>
        <v>98</v>
      </c>
      <c r="T27" s="701" t="s">
        <v>18</v>
      </c>
      <c r="U27" s="702">
        <f t="shared" si="13"/>
        <v>98</v>
      </c>
      <c r="V27" s="701" t="s">
        <v>18</v>
      </c>
      <c r="W27" s="702">
        <f t="shared" si="14"/>
        <v>100</v>
      </c>
      <c r="X27" s="703"/>
      <c r="Y27" s="3687"/>
      <c r="Z27" s="52">
        <f>Q27</f>
        <v>111</v>
      </c>
      <c r="AA27" s="1353">
        <f t="shared" si="15"/>
        <v>1.0204081632653061</v>
      </c>
      <c r="AB27" s="1353">
        <f t="shared" si="16"/>
        <v>1.0204081632653061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94"/>
      <c r="Q28" s="1352">
        <f t="shared" si="11"/>
        <v>111</v>
      </c>
      <c r="R28" s="705" t="s">
        <v>18</v>
      </c>
      <c r="S28" s="706">
        <f t="shared" si="12"/>
        <v>100</v>
      </c>
      <c r="T28" s="705" t="s">
        <v>18</v>
      </c>
      <c r="U28" s="706">
        <f t="shared" si="13"/>
        <v>100</v>
      </c>
      <c r="V28" s="705" t="s">
        <v>18</v>
      </c>
      <c r="W28" s="706">
        <f t="shared" si="14"/>
        <v>100</v>
      </c>
      <c r="X28" s="1355"/>
      <c r="Y28" s="368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94"/>
      <c r="Q29" s="1352">
        <f t="shared" si="11"/>
        <v>111</v>
      </c>
      <c r="R29" s="705" t="s">
        <v>18</v>
      </c>
      <c r="S29" s="706">
        <f t="shared" si="12"/>
        <v>100</v>
      </c>
      <c r="T29" s="705" t="s">
        <v>18</v>
      </c>
      <c r="U29" s="706">
        <f t="shared" si="13"/>
        <v>100</v>
      </c>
      <c r="V29" s="705" t="s">
        <v>18</v>
      </c>
      <c r="W29" s="706">
        <f t="shared" si="14"/>
        <v>100</v>
      </c>
      <c r="X29" s="1355"/>
      <c r="Y29" s="368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94"/>
      <c r="Q30" s="1352">
        <f t="shared" si="11"/>
        <v>111</v>
      </c>
      <c r="R30" s="705" t="s">
        <v>18</v>
      </c>
      <c r="S30" s="706">
        <f t="shared" si="12"/>
        <v>100</v>
      </c>
      <c r="T30" s="705" t="s">
        <v>18</v>
      </c>
      <c r="U30" s="706">
        <f t="shared" si="13"/>
        <v>100</v>
      </c>
      <c r="V30" s="705" t="s">
        <v>18</v>
      </c>
      <c r="W30" s="706">
        <f t="shared" si="14"/>
        <v>100</v>
      </c>
      <c r="X30" s="1355"/>
      <c r="Y30" s="368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94"/>
      <c r="Q31" s="1352">
        <f t="shared" si="11"/>
        <v>111</v>
      </c>
      <c r="R31" s="705" t="s">
        <v>18</v>
      </c>
      <c r="S31" s="706">
        <f t="shared" si="12"/>
        <v>100</v>
      </c>
      <c r="T31" s="705" t="s">
        <v>18</v>
      </c>
      <c r="U31" s="706">
        <f t="shared" si="13"/>
        <v>100</v>
      </c>
      <c r="V31" s="705" t="s">
        <v>18</v>
      </c>
      <c r="W31" s="706">
        <f t="shared" si="14"/>
        <v>100</v>
      </c>
      <c r="X31" s="1355"/>
      <c r="Y31" s="3687"/>
      <c r="Z31" s="1356">
        <f t="shared" si="18"/>
        <v>111</v>
      </c>
      <c r="AA31" s="1353">
        <f t="shared" si="15"/>
        <v>1</v>
      </c>
      <c r="AB31" s="1353">
        <f t="shared" si="16"/>
        <v>1</v>
      </c>
      <c r="AC31" s="1353">
        <f t="shared" si="17"/>
        <v>1</v>
      </c>
    </row>
    <row r="32" spans="1:29" ht="15">
      <c r="A32" s="391" t="s">
        <v>1694</v>
      </c>
      <c r="B32" s="63" t="s">
        <v>1695</v>
      </c>
      <c r="C32" s="1910" t="s">
        <v>3447</v>
      </c>
      <c r="D32" s="418">
        <v>100</v>
      </c>
      <c r="E32" s="1910" t="s">
        <v>3447</v>
      </c>
      <c r="F32" s="412">
        <f>SUMIF(100:100,E32,101:101)-SUMIF(100:100,C32,101:101)+100</f>
        <v>100</v>
      </c>
      <c r="G32" s="1910" t="s">
        <v>3447</v>
      </c>
      <c r="H32" s="418">
        <f>SUMIF(100:100,G32,101:101)-SUMIF(100:100,C32,101:101)+100</f>
        <v>100</v>
      </c>
      <c r="I32" s="1910" t="s">
        <v>3447</v>
      </c>
      <c r="J32" s="386">
        <f>SUMIF(100:100,I32,101:101)-SUMIF(100:100,C32,101:101)+100</f>
        <v>100</v>
      </c>
      <c r="K32" s="377"/>
      <c r="L32" s="2720"/>
      <c r="M32" s="2714"/>
      <c r="N32" s="2714"/>
      <c r="O32" s="2714"/>
      <c r="P32" s="3688" t="s">
        <v>1696</v>
      </c>
      <c r="Q32" s="1352" t="str">
        <f t="shared" si="11"/>
        <v>建筑类型</v>
      </c>
      <c r="R32" s="705" t="s">
        <v>18</v>
      </c>
      <c r="S32" s="706">
        <f t="shared" si="12"/>
        <v>100</v>
      </c>
      <c r="T32" s="705" t="s">
        <v>18</v>
      </c>
      <c r="U32" s="706">
        <f t="shared" si="13"/>
        <v>100</v>
      </c>
      <c r="V32" s="705" t="s">
        <v>18</v>
      </c>
      <c r="W32" s="706">
        <f t="shared" si="14"/>
        <v>100</v>
      </c>
      <c r="X32" s="1355"/>
      <c r="Y32" s="3691"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49.02</v>
      </c>
      <c r="D33" s="127">
        <v>100</v>
      </c>
      <c r="E33" s="381">
        <f>Sheet1!$D$3</f>
        <v>49.02</v>
      </c>
      <c r="F33" s="376">
        <f>LOOKUP(E33,103:103,104:104)-LOOKUP(C33,103:103,104:104)+100</f>
        <v>100</v>
      </c>
      <c r="G33" s="380">
        <f>Sheet1!$D$4</f>
        <v>79.78</v>
      </c>
      <c r="H33" s="127">
        <f>LOOKUP(G33,103:103,104:104)-LOOKUP(C33,103:103,104:104)+100</f>
        <v>99</v>
      </c>
      <c r="I33" s="381">
        <f>Sheet1!$D$5</f>
        <v>49.02</v>
      </c>
      <c r="J33" s="127">
        <f>LOOKUP(I33,103:103,104:104)-LOOKUP(C33,103:103,104:104)+100</f>
        <v>100</v>
      </c>
      <c r="K33" s="1894"/>
      <c r="L33" s="2719"/>
      <c r="M33" s="2721"/>
      <c r="N33" s="2721"/>
      <c r="O33" s="2721"/>
      <c r="P33" s="3689"/>
      <c r="Q33" s="707" t="str">
        <f t="shared" si="11"/>
        <v>项目建筑规模</v>
      </c>
      <c r="R33" s="708" t="s">
        <v>18</v>
      </c>
      <c r="S33" s="709">
        <f t="shared" si="12"/>
        <v>100</v>
      </c>
      <c r="T33" s="708" t="s">
        <v>18</v>
      </c>
      <c r="U33" s="709">
        <f t="shared" si="13"/>
        <v>99</v>
      </c>
      <c r="V33" s="708" t="s">
        <v>18</v>
      </c>
      <c r="W33" s="709">
        <f t="shared" si="14"/>
        <v>100</v>
      </c>
      <c r="X33" s="710"/>
      <c r="Y33" s="3691"/>
      <c r="Z33" s="711" t="str">
        <f t="shared" si="18"/>
        <v>项目建筑规模</v>
      </c>
      <c r="AA33" s="1353">
        <f t="shared" si="15"/>
        <v>1</v>
      </c>
      <c r="AB33" s="1353">
        <f t="shared" si="16"/>
        <v>1.0101010101010102</v>
      </c>
      <c r="AC33" s="1353">
        <f t="shared" si="17"/>
        <v>1</v>
      </c>
    </row>
    <row r="34" spans="1:29" ht="15">
      <c r="A34" s="423"/>
      <c r="B34" s="375" t="s">
        <v>1698</v>
      </c>
      <c r="C34" s="1911" t="s">
        <v>3433</v>
      </c>
      <c r="D34" s="386">
        <v>100</v>
      </c>
      <c r="E34" s="1911" t="s">
        <v>3433</v>
      </c>
      <c r="F34" s="412">
        <f>SUMIF(105:105,E34,106:106)-SUMIF(105:105,C34,106:106)+100</f>
        <v>100</v>
      </c>
      <c r="G34" s="1911" t="s">
        <v>3433</v>
      </c>
      <c r="H34" s="386">
        <f>SUMIF(105:105,G34,106:106)-SUMIF(105:105,C34,106:106)+100</f>
        <v>100</v>
      </c>
      <c r="I34" s="1911" t="s">
        <v>3433</v>
      </c>
      <c r="J34" s="386">
        <f>SUMIF(105:105,I34,106:106)-SUMIF(105:105,C34,106:106)+100</f>
        <v>100</v>
      </c>
      <c r="K34" s="377"/>
      <c r="L34" s="2720"/>
      <c r="M34" s="2714"/>
      <c r="N34" s="2714"/>
      <c r="O34" s="2714"/>
      <c r="P34" s="3689"/>
      <c r="Q34" s="1352" t="str">
        <f t="shared" si="11"/>
        <v>建筑结构</v>
      </c>
      <c r="R34" s="705" t="s">
        <v>18</v>
      </c>
      <c r="S34" s="706">
        <f t="shared" si="12"/>
        <v>100</v>
      </c>
      <c r="T34" s="705" t="s">
        <v>18</v>
      </c>
      <c r="U34" s="706">
        <f t="shared" si="13"/>
        <v>100</v>
      </c>
      <c r="V34" s="705" t="s">
        <v>18</v>
      </c>
      <c r="W34" s="706">
        <f t="shared" si="14"/>
        <v>100</v>
      </c>
      <c r="X34" s="1355"/>
      <c r="Y34" s="3691"/>
      <c r="Z34" s="1356" t="str">
        <f t="shared" si="18"/>
        <v>建筑结构</v>
      </c>
      <c r="AA34" s="1353">
        <f t="shared" si="15"/>
        <v>1</v>
      </c>
      <c r="AB34" s="1353">
        <f t="shared" si="16"/>
        <v>1</v>
      </c>
      <c r="AC34" s="1353">
        <f t="shared" si="17"/>
        <v>1</v>
      </c>
    </row>
    <row r="35" spans="1:29" ht="15">
      <c r="A35" s="423"/>
      <c r="B35" s="375" t="s">
        <v>1699</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c r="L35" s="2720"/>
      <c r="M35" s="2714"/>
      <c r="N35" s="2714"/>
      <c r="O35" s="2714"/>
      <c r="P35" s="3689"/>
      <c r="Q35" s="1352" t="str">
        <f t="shared" si="11"/>
        <v>建筑品质</v>
      </c>
      <c r="R35" s="705" t="s">
        <v>18</v>
      </c>
      <c r="S35" s="706">
        <f t="shared" si="12"/>
        <v>100</v>
      </c>
      <c r="T35" s="705" t="s">
        <v>18</v>
      </c>
      <c r="U35" s="706">
        <f t="shared" si="13"/>
        <v>100</v>
      </c>
      <c r="V35" s="705" t="s">
        <v>18</v>
      </c>
      <c r="W35" s="706">
        <f t="shared" si="14"/>
        <v>100</v>
      </c>
      <c r="X35" s="1355"/>
      <c r="Y35" s="3691"/>
      <c r="Z35" s="1356" t="str">
        <f t="shared" si="18"/>
        <v>建筑品质</v>
      </c>
      <c r="AA35" s="1353">
        <f t="shared" si="15"/>
        <v>1</v>
      </c>
      <c r="AB35" s="1353">
        <f t="shared" si="16"/>
        <v>1</v>
      </c>
      <c r="AC35" s="1353">
        <f t="shared" si="17"/>
        <v>1</v>
      </c>
    </row>
    <row r="36" spans="1:29" ht="15">
      <c r="A36" s="423"/>
      <c r="B36" s="375" t="s">
        <v>1700</v>
      </c>
      <c r="C36" s="1906" t="s">
        <v>3450</v>
      </c>
      <c r="D36" s="386">
        <v>100</v>
      </c>
      <c r="E36" s="1906" t="s">
        <v>3450</v>
      </c>
      <c r="F36" s="412">
        <f>SUMIF(109:109,E36,110:110)-SUMIF(109:109,C36,110:110)+100</f>
        <v>100</v>
      </c>
      <c r="G36" s="1906" t="s">
        <v>3450</v>
      </c>
      <c r="H36" s="386">
        <f>SUMIF(109:109,G36,110:110)-SUMIF(109:109,C36,110:110)+100</f>
        <v>100</v>
      </c>
      <c r="I36" s="1906" t="s">
        <v>3450</v>
      </c>
      <c r="J36" s="386">
        <f>SUMIF(109:109,I36,110:110)-SUMIF(109:109,C36,110:110)+100</f>
        <v>100</v>
      </c>
      <c r="K36" s="377"/>
      <c r="L36" s="2720"/>
      <c r="M36" s="2714"/>
      <c r="N36" s="2714"/>
      <c r="O36" s="2714"/>
      <c r="P36" s="3689"/>
      <c r="Q36" s="1352" t="str">
        <f t="shared" si="11"/>
        <v>公共部分装修</v>
      </c>
      <c r="R36" s="705" t="s">
        <v>18</v>
      </c>
      <c r="S36" s="706">
        <f t="shared" si="12"/>
        <v>100</v>
      </c>
      <c r="T36" s="705" t="s">
        <v>18</v>
      </c>
      <c r="U36" s="706">
        <f t="shared" si="13"/>
        <v>100</v>
      </c>
      <c r="V36" s="705" t="s">
        <v>18</v>
      </c>
      <c r="W36" s="706">
        <f t="shared" si="14"/>
        <v>100</v>
      </c>
      <c r="X36" s="1355"/>
      <c r="Y36" s="3691"/>
      <c r="Z36" s="1356" t="str">
        <f t="shared" si="18"/>
        <v>公共部分装修</v>
      </c>
      <c r="AA36" s="1353">
        <f t="shared" si="15"/>
        <v>1</v>
      </c>
      <c r="AB36" s="1353">
        <f t="shared" si="16"/>
        <v>1</v>
      </c>
      <c r="AC36" s="1353">
        <f t="shared" si="17"/>
        <v>1</v>
      </c>
    </row>
    <row r="37" spans="1:29" s="108" customFormat="1" ht="15">
      <c r="A37" s="424"/>
      <c r="B37" s="375" t="s">
        <v>1701</v>
      </c>
      <c r="C37" s="3465">
        <v>0.63500000000000001</v>
      </c>
      <c r="D37" s="127">
        <v>100</v>
      </c>
      <c r="E37" s="3465">
        <v>0.63500000000000001</v>
      </c>
      <c r="F37" s="376">
        <f>LOOKUP(E37,112:112,113:113)-LOOKUP(C37,112:112,113:113)+100</f>
        <v>100</v>
      </c>
      <c r="G37" s="3466">
        <v>0.63500000000000001</v>
      </c>
      <c r="H37" s="127">
        <f>LOOKUP(G37,112:112,113:113)-LOOKUP(C37,112:112,113:113)+100</f>
        <v>100</v>
      </c>
      <c r="I37" s="3467">
        <v>0.63500000000000001</v>
      </c>
      <c r="J37" s="127">
        <f>LOOKUP(I37,112:112,113:113)-LOOKUP(C37,112:112,113:113)+100</f>
        <v>100</v>
      </c>
      <c r="K37" s="377"/>
      <c r="L37" s="2715"/>
      <c r="M37" s="2716"/>
      <c r="N37" s="2716"/>
      <c r="O37" s="2716"/>
      <c r="P37" s="3689"/>
      <c r="Q37" s="1343" t="str">
        <f t="shared" si="11"/>
        <v>成新度</v>
      </c>
      <c r="R37" s="701" t="s">
        <v>18</v>
      </c>
      <c r="S37" s="702">
        <f t="shared" si="12"/>
        <v>100</v>
      </c>
      <c r="T37" s="701" t="s">
        <v>18</v>
      </c>
      <c r="U37" s="702">
        <f t="shared" si="13"/>
        <v>100</v>
      </c>
      <c r="V37" s="701" t="s">
        <v>18</v>
      </c>
      <c r="W37" s="702">
        <f t="shared" si="14"/>
        <v>100</v>
      </c>
      <c r="X37" s="703"/>
      <c r="Y37" s="3691"/>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89" t="s">
        <v>1696</v>
      </c>
      <c r="Q38" s="1352" t="str">
        <f t="shared" si="11"/>
        <v>物业管理</v>
      </c>
      <c r="R38" s="705" t="s">
        <v>18</v>
      </c>
      <c r="S38" s="706">
        <f t="shared" si="12"/>
        <v>100</v>
      </c>
      <c r="T38" s="705" t="s">
        <v>18</v>
      </c>
      <c r="U38" s="706">
        <f t="shared" si="13"/>
        <v>100</v>
      </c>
      <c r="V38" s="705" t="s">
        <v>18</v>
      </c>
      <c r="W38" s="706">
        <f t="shared" si="14"/>
        <v>100</v>
      </c>
      <c r="X38" s="1355"/>
      <c r="Y38" s="369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89"/>
      <c r="Q39" s="1352" t="str">
        <f t="shared" si="11"/>
        <v>市政基础设施</v>
      </c>
      <c r="R39" s="705" t="s">
        <v>18</v>
      </c>
      <c r="S39" s="706">
        <f t="shared" si="12"/>
        <v>100</v>
      </c>
      <c r="T39" s="705" t="s">
        <v>18</v>
      </c>
      <c r="U39" s="706">
        <f t="shared" si="13"/>
        <v>100</v>
      </c>
      <c r="V39" s="705" t="s">
        <v>18</v>
      </c>
      <c r="W39" s="706">
        <f t="shared" si="14"/>
        <v>100</v>
      </c>
      <c r="X39" s="1355"/>
      <c r="Y39" s="369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89"/>
      <c r="Q40" s="1352" t="str">
        <f t="shared" si="11"/>
        <v>房型</v>
      </c>
      <c r="R40" s="705" t="s">
        <v>18</v>
      </c>
      <c r="S40" s="706">
        <f t="shared" si="12"/>
        <v>100</v>
      </c>
      <c r="T40" s="705" t="s">
        <v>18</v>
      </c>
      <c r="U40" s="706">
        <f t="shared" si="13"/>
        <v>100</v>
      </c>
      <c r="V40" s="705" t="s">
        <v>18</v>
      </c>
      <c r="W40" s="706">
        <f t="shared" si="14"/>
        <v>100</v>
      </c>
      <c r="X40" s="1355"/>
      <c r="Y40" s="369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89"/>
      <c r="Q41" s="707" t="str">
        <f t="shared" si="11"/>
        <v>单套/主力户型建筑面积</v>
      </c>
      <c r="R41" s="708" t="s">
        <v>18</v>
      </c>
      <c r="S41" s="709">
        <f t="shared" si="12"/>
        <v>100</v>
      </c>
      <c r="T41" s="708" t="s">
        <v>18</v>
      </c>
      <c r="U41" s="709">
        <f t="shared" si="13"/>
        <v>100</v>
      </c>
      <c r="V41" s="708" t="s">
        <v>18</v>
      </c>
      <c r="W41" s="709">
        <f t="shared" si="14"/>
        <v>100</v>
      </c>
      <c r="X41" s="710"/>
      <c r="Y41" s="3691"/>
      <c r="Z41" s="711" t="str">
        <f t="shared" si="18"/>
        <v>单套/主力户型建筑面积</v>
      </c>
      <c r="AA41" s="1353">
        <f t="shared" si="15"/>
        <v>1</v>
      </c>
      <c r="AB41" s="1353">
        <f t="shared" si="16"/>
        <v>1</v>
      </c>
      <c r="AC41" s="1353">
        <f t="shared" si="17"/>
        <v>1</v>
      </c>
    </row>
    <row r="42" spans="1:29" ht="15">
      <c r="A42" s="423"/>
      <c r="B42" s="375" t="s">
        <v>1706</v>
      </c>
      <c r="C42" s="1906" t="s">
        <v>3450</v>
      </c>
      <c r="D42" s="386">
        <v>100</v>
      </c>
      <c r="E42" s="1906" t="s">
        <v>3450</v>
      </c>
      <c r="F42" s="412">
        <f>SUMIF(122:122,E42,123:123)-SUMIF(122:122,C42,123:123)+100</f>
        <v>100</v>
      </c>
      <c r="G42" s="1906" t="s">
        <v>3450</v>
      </c>
      <c r="H42" s="386">
        <f>SUMIF(122:122,G42,123:123)-SUMIF(122:122,C42,123:123)+100</f>
        <v>100</v>
      </c>
      <c r="I42" s="1906" t="s">
        <v>3450</v>
      </c>
      <c r="J42" s="386">
        <f>SUMIF(122:122,I42,123:123)-SUMIF(122:122,C42,123:123)+100</f>
        <v>100</v>
      </c>
      <c r="K42" s="377">
        <v>2</v>
      </c>
      <c r="L42" s="2720"/>
      <c r="M42" s="2714"/>
      <c r="N42" s="2714"/>
      <c r="O42" s="2714"/>
      <c r="P42" s="3689"/>
      <c r="Q42" s="1352" t="str">
        <f t="shared" si="11"/>
        <v>内部装修</v>
      </c>
      <c r="R42" s="705" t="s">
        <v>18</v>
      </c>
      <c r="S42" s="706">
        <f t="shared" si="12"/>
        <v>100</v>
      </c>
      <c r="T42" s="705" t="s">
        <v>18</v>
      </c>
      <c r="U42" s="706">
        <f t="shared" si="13"/>
        <v>100</v>
      </c>
      <c r="V42" s="705" t="s">
        <v>18</v>
      </c>
      <c r="W42" s="706">
        <f t="shared" si="14"/>
        <v>100</v>
      </c>
      <c r="X42" s="1355"/>
      <c r="Y42" s="3691"/>
      <c r="Z42" s="1356" t="str">
        <f t="shared" si="18"/>
        <v>内部装修</v>
      </c>
      <c r="AA42" s="1353">
        <f t="shared" si="15"/>
        <v>1</v>
      </c>
      <c r="AB42" s="1353">
        <f t="shared" si="16"/>
        <v>1</v>
      </c>
      <c r="AC42" s="1353">
        <f t="shared" si="17"/>
        <v>1</v>
      </c>
    </row>
    <row r="43" spans="1:29" ht="15">
      <c r="A43" s="423"/>
      <c r="B43" s="375" t="s">
        <v>1707</v>
      </c>
      <c r="C43" s="1906" t="s">
        <v>3441</v>
      </c>
      <c r="D43" s="386">
        <v>100</v>
      </c>
      <c r="E43" s="1906" t="s">
        <v>3441</v>
      </c>
      <c r="F43" s="412">
        <f>SUMIF(124:124,E43,125:125)-SUMIF(124:124,C43,125:125)+100</f>
        <v>100</v>
      </c>
      <c r="G43" s="1906" t="s">
        <v>3441</v>
      </c>
      <c r="H43" s="386">
        <f>SUMIF(124:124,G43,125:125)-SUMIF(124:124,C43,125:125)+100</f>
        <v>100</v>
      </c>
      <c r="I43" s="1906" t="s">
        <v>3441</v>
      </c>
      <c r="J43" s="386">
        <f>SUMIF(124:124,I43,125:125)-SUMIF(124:124,C43,125:125)+100</f>
        <v>100</v>
      </c>
      <c r="K43" s="377"/>
      <c r="L43" s="2720"/>
      <c r="M43" s="2714"/>
      <c r="N43" s="2714"/>
      <c r="O43" s="2714"/>
      <c r="P43" s="3689"/>
      <c r="Q43" s="1352" t="str">
        <f t="shared" si="11"/>
        <v>内部装修维护情况</v>
      </c>
      <c r="R43" s="705" t="s">
        <v>18</v>
      </c>
      <c r="S43" s="706">
        <f t="shared" si="12"/>
        <v>100</v>
      </c>
      <c r="T43" s="705" t="s">
        <v>18</v>
      </c>
      <c r="U43" s="706">
        <f t="shared" si="13"/>
        <v>100</v>
      </c>
      <c r="V43" s="705" t="s">
        <v>18</v>
      </c>
      <c r="W43" s="706">
        <f t="shared" si="14"/>
        <v>100</v>
      </c>
      <c r="X43" s="1355"/>
      <c r="Y43" s="369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89"/>
      <c r="Q44" s="1343">
        <f t="shared" si="11"/>
        <v>111</v>
      </c>
      <c r="R44" s="701" t="s">
        <v>18</v>
      </c>
      <c r="S44" s="702">
        <f t="shared" si="12"/>
        <v>100</v>
      </c>
      <c r="T44" s="701" t="s">
        <v>18</v>
      </c>
      <c r="U44" s="702">
        <f t="shared" si="13"/>
        <v>100</v>
      </c>
      <c r="V44" s="701" t="s">
        <v>18</v>
      </c>
      <c r="W44" s="702">
        <f t="shared" si="14"/>
        <v>100</v>
      </c>
      <c r="X44" s="703"/>
      <c r="Y44" s="369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89"/>
      <c r="Q45" s="1352">
        <f t="shared" si="11"/>
        <v>111</v>
      </c>
      <c r="R45" s="705" t="s">
        <v>18</v>
      </c>
      <c r="S45" s="706">
        <f t="shared" si="12"/>
        <v>100</v>
      </c>
      <c r="T45" s="705" t="s">
        <v>18</v>
      </c>
      <c r="U45" s="706">
        <f t="shared" si="13"/>
        <v>100</v>
      </c>
      <c r="V45" s="705" t="s">
        <v>18</v>
      </c>
      <c r="W45" s="706">
        <f t="shared" si="14"/>
        <v>100</v>
      </c>
      <c r="X45" s="1355"/>
      <c r="Y45" s="369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90"/>
      <c r="Q46" s="1352">
        <f t="shared" si="11"/>
        <v>111</v>
      </c>
      <c r="R46" s="705" t="s">
        <v>17</v>
      </c>
      <c r="S46" s="706">
        <f t="shared" si="12"/>
        <v>100</v>
      </c>
      <c r="T46" s="705" t="s">
        <v>17</v>
      </c>
      <c r="U46" s="706">
        <f t="shared" si="13"/>
        <v>100</v>
      </c>
      <c r="V46" s="705" t="s">
        <v>17</v>
      </c>
      <c r="W46" s="706">
        <f t="shared" si="14"/>
        <v>100</v>
      </c>
      <c r="X46" s="1355"/>
      <c r="Y46" s="3692"/>
      <c r="Z46" s="1356">
        <f t="shared" si="18"/>
        <v>111</v>
      </c>
      <c r="AA46" s="1353">
        <f t="shared" si="15"/>
        <v>1</v>
      </c>
      <c r="AB46" s="1353">
        <f t="shared" si="16"/>
        <v>1</v>
      </c>
      <c r="AC46" s="1353">
        <f t="shared" si="17"/>
        <v>1</v>
      </c>
    </row>
    <row r="47" spans="1:29" ht="15">
      <c r="A47" s="430" t="s">
        <v>1708</v>
      </c>
      <c r="B47" s="431"/>
      <c r="C47" s="1154" t="s">
        <v>16</v>
      </c>
      <c r="D47" s="1155"/>
      <c r="E47" s="1156">
        <f>Sheet1!$J$3</f>
        <v>67319</v>
      </c>
      <c r="F47" s="1157"/>
      <c r="G47" s="1158">
        <f>Sheet1!$J$4</f>
        <v>67686</v>
      </c>
      <c r="H47" s="1159"/>
      <c r="I47" s="1156">
        <f>Sheet1!$J$5</f>
        <v>67319</v>
      </c>
      <c r="J47" s="1159"/>
      <c r="K47" s="1912"/>
      <c r="L47" s="2722"/>
      <c r="M47" s="2723"/>
      <c r="N47" s="2714"/>
      <c r="O47" s="2723"/>
      <c r="P47" s="3684" t="str">
        <f>A47</f>
        <v>成交单价（元/平方米）</v>
      </c>
      <c r="Q47" s="3684"/>
      <c r="R47" s="3685">
        <f>E47</f>
        <v>67319</v>
      </c>
      <c r="S47" s="3685"/>
      <c r="T47" s="3685">
        <f>G47</f>
        <v>67686</v>
      </c>
      <c r="U47" s="3685"/>
      <c r="V47" s="3685">
        <f>I47</f>
        <v>67319</v>
      </c>
      <c r="W47" s="3685"/>
      <c r="X47" s="690"/>
      <c r="Y47" s="712"/>
      <c r="Z47" s="690"/>
      <c r="AA47" s="690"/>
      <c r="AB47" s="690"/>
      <c r="AC47" s="690"/>
    </row>
    <row r="48" spans="1:29" ht="15.75" thickBot="1">
      <c r="A48" s="437" t="s">
        <v>1709</v>
      </c>
      <c r="B48" s="438"/>
      <c r="C48" s="1160">
        <f>R49</f>
        <v>68370</v>
      </c>
      <c r="D48" s="2315" t="s">
        <v>2138</v>
      </c>
      <c r="E48" s="1161">
        <f>R48</f>
        <v>68693</v>
      </c>
      <c r="F48" s="2316"/>
      <c r="G48" s="1160">
        <f>T48</f>
        <v>69765</v>
      </c>
      <c r="H48" s="2316"/>
      <c r="I48" s="1161">
        <f>V48</f>
        <v>66652</v>
      </c>
      <c r="J48" s="2316"/>
      <c r="K48" s="2317">
        <f>F48+H48+J48</f>
        <v>0</v>
      </c>
      <c r="L48" s="2722"/>
      <c r="M48" s="2723"/>
      <c r="N48" s="2723"/>
      <c r="O48" s="2723"/>
      <c r="P48" s="3684" t="str">
        <f>A48</f>
        <v>比较价值（元/平方米）</v>
      </c>
      <c r="Q48" s="3684"/>
      <c r="R48" s="3685">
        <f>IF(F1="售价",ROUND(PRODUCT(R47,AA7:AA46),0),ROUND(PRODUCT(R47,AA7:AA46),1))</f>
        <v>68693</v>
      </c>
      <c r="S48" s="3685"/>
      <c r="T48" s="3685">
        <f>IF(F1="售价",ROUND(PRODUCT(T47,AB7:AB46),0),ROUND(PRODUCT(T47,AB7:AB46),1))</f>
        <v>69765</v>
      </c>
      <c r="U48" s="3685"/>
      <c r="V48" s="3685">
        <f>IF(F1="售价",ROUND(PRODUCT(V47,AC7:AC46),0),ROUND(PRODUCT(V47,AC7:AC46),1))</f>
        <v>66652</v>
      </c>
      <c r="W48" s="3685"/>
      <c r="X48" s="690"/>
      <c r="Y48" s="690"/>
      <c r="Z48" s="690"/>
      <c r="AA48" s="690"/>
      <c r="AB48" s="690"/>
      <c r="AC48" s="690"/>
    </row>
    <row r="49" spans="1:29" ht="15.75" thickBot="1">
      <c r="A49" s="441" t="s">
        <v>1710</v>
      </c>
      <c r="B49" s="442"/>
      <c r="C49" s="1162">
        <f>R49</f>
        <v>68370</v>
      </c>
      <c r="D49" s="1163"/>
      <c r="E49" s="1163"/>
      <c r="F49" s="1163"/>
      <c r="G49" s="1163"/>
      <c r="H49" s="1163"/>
      <c r="I49" s="1163"/>
      <c r="J49" s="1163"/>
      <c r="K49" s="1913"/>
      <c r="L49" s="2722"/>
      <c r="M49" s="2723"/>
      <c r="N49" s="2723"/>
      <c r="O49" s="2723"/>
      <c r="P49" s="3681" t="str">
        <f>A49</f>
        <v>估价对象XX用房的比较价值（楼面单价，元/平方米）</v>
      </c>
      <c r="Q49" s="3682"/>
      <c r="R49" s="3683">
        <f>IF(F1="售价",ROUND(IF(D48="简单平均",AVERAGE(R48:V48),R48*F48+T48*H48+V48*J48),0),ROUND(IF(D48="简单平均",AVERAGE(R48:V48),R48*F48+T48*H48+V48*J48),1))</f>
        <v>68370</v>
      </c>
      <c r="S49" s="3683"/>
      <c r="T49" s="3683"/>
      <c r="U49" s="3683"/>
      <c r="V49" s="3683"/>
      <c r="W49" s="368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2.0410285357774116E-2</v>
      </c>
      <c r="F52" s="449" t="str">
        <f>IF(OR(E52&gt;=0.3,E52&lt;=-0.3),"超过30%","")</f>
        <v/>
      </c>
      <c r="G52" s="448">
        <f>IF(G47&lt;G48,G48/G47-1,G47/G48-1)</f>
        <v>3.0715362113287847E-2</v>
      </c>
      <c r="H52" s="449" t="str">
        <f>IF(OR(G52&gt;=0.3,G52&lt;=-0.3),"超过30%","")</f>
        <v/>
      </c>
      <c r="I52" s="448">
        <f>IF(I47&lt;I48,I48/I47-1,I47/I48-1)</f>
        <v>1.0007201584348646E-2</v>
      </c>
      <c r="J52" s="449" t="str">
        <f>IF(OR(I52&gt;=0.3,I52&lt;=-0.3),"超过30%","")</f>
        <v/>
      </c>
      <c r="K52" s="2728"/>
      <c r="L52" s="2724"/>
      <c r="M52" s="2723"/>
      <c r="N52" s="2723"/>
      <c r="O52" s="2723"/>
    </row>
    <row r="53" spans="1:29" ht="13.5" customHeight="1">
      <c r="A53" s="2723"/>
      <c r="B53" s="2723"/>
      <c r="C53" s="446" t="s">
        <v>1712</v>
      </c>
      <c r="D53" s="450"/>
      <c r="E53" s="448">
        <f>IF(E48&lt;G48,G48/E48-1,E48/G48-1)</f>
        <v>1.5605665788362755E-2</v>
      </c>
      <c r="F53" s="449" t="str">
        <f>IF(OR(E53&gt;=0.2,E53&lt;=-0.2),"超过20%","")</f>
        <v/>
      </c>
      <c r="G53" s="448">
        <f>IF(G48&lt;I48,I48/G48-1,G48/I48-1)</f>
        <v>4.6705275160535242E-2</v>
      </c>
      <c r="H53" s="449" t="str">
        <f>IF(OR(G53&gt;=0.2,G53&lt;=-0.2),"超过20%","")</f>
        <v/>
      </c>
      <c r="I53" s="448">
        <f>IF(I48&lt;E48,E48/I48-1,I48/E48-1)</f>
        <v>3.0621736782092013E-2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5.4516555504389164E-3</v>
      </c>
      <c r="F54" s="449" t="str">
        <f>IF(OR(E54&gt;=0.3,E54&lt;=-0.3),"超过30%","")</f>
        <v/>
      </c>
      <c r="G54" s="448">
        <f>IF(G47&lt;I47,I47/G47-1,G47/I47-1)</f>
        <v>5.4516555504389164E-3</v>
      </c>
      <c r="H54" s="449" t="str">
        <f>IF(OR(G54&gt;=0.3,G54&lt;=-0.3),"超过30%","")</f>
        <v/>
      </c>
      <c r="I54" s="448">
        <f>IF(I47&lt;E47,E47/I47-1,I47/E47-1)</f>
        <v>0</v>
      </c>
      <c r="J54" s="449" t="str">
        <f>IF(OR(I54&gt;=0.3,I54&lt;=-0.3),"超过30%","")</f>
        <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7"/>
      <c r="C59" s="1183">
        <v>100</v>
      </c>
      <c r="D59" s="460">
        <v>100</v>
      </c>
      <c r="E59" s="461">
        <v>100</v>
      </c>
      <c r="F59" s="461">
        <v>100</v>
      </c>
      <c r="G59" s="461">
        <v>100</v>
      </c>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v>0</v>
      </c>
      <c r="D68" s="498">
        <v>1</v>
      </c>
      <c r="E68" s="498">
        <v>2</v>
      </c>
      <c r="F68" s="498">
        <v>3</v>
      </c>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5.75" thickBot="1">
      <c r="A83" s="483"/>
      <c r="B83" s="495"/>
      <c r="C83" s="608">
        <v>100</v>
      </c>
      <c r="D83" s="608">
        <f>C83-$K21</f>
        <v>98</v>
      </c>
      <c r="E83" s="608">
        <f t="shared" ref="E83:G83" si="22">D83-$K21</f>
        <v>96</v>
      </c>
      <c r="F83" s="608">
        <f t="shared" si="22"/>
        <v>94</v>
      </c>
      <c r="G83" s="608">
        <f t="shared" si="22"/>
        <v>92</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3453" t="s">
        <v>3444</v>
      </c>
      <c r="D88" s="3453" t="s">
        <v>3446</v>
      </c>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0"/>
      <c r="Q89" s="453"/>
    </row>
    <row r="90" spans="1:17" s="422" customFormat="1" ht="15.75" thickTop="1">
      <c r="A90" s="502"/>
      <c r="B90" s="487">
        <f>B27</f>
        <v>111</v>
      </c>
      <c r="C90" s="3453" t="s">
        <v>3422</v>
      </c>
      <c r="D90" s="3453" t="s">
        <v>3423</v>
      </c>
      <c r="E90" s="3453" t="s">
        <v>3424</v>
      </c>
      <c r="F90" s="503"/>
      <c r="G90" s="503"/>
      <c r="H90" s="504"/>
      <c r="I90" s="504"/>
      <c r="J90" s="504"/>
      <c r="K90" s="504"/>
      <c r="L90" s="505"/>
      <c r="M90" s="506"/>
      <c r="N90" s="935"/>
      <c r="O90" s="935"/>
      <c r="P90" s="1921"/>
      <c r="Q90" s="508"/>
    </row>
    <row r="91" spans="1:17"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3468" t="s">
        <v>3448</v>
      </c>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1737</v>
      </c>
      <c r="C102" s="527" t="str">
        <f>C103&amp;"(含)"&amp;"-"&amp;D103</f>
        <v>0(含)-50</v>
      </c>
      <c r="D102" s="527" t="str">
        <f t="shared" ref="D102:L102" si="26">D103&amp;"(含)"&amp;"-"&amp;E103</f>
        <v>50(含)-100</v>
      </c>
      <c r="E102" s="527" t="str">
        <f t="shared" si="26"/>
        <v>100(含)-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v>0</v>
      </c>
      <c r="D103" s="544">
        <v>50</v>
      </c>
      <c r="E103" s="544">
        <v>100</v>
      </c>
      <c r="F103" s="544"/>
      <c r="G103" s="544"/>
      <c r="H103" s="544"/>
      <c r="I103" s="544"/>
      <c r="J103" s="545"/>
      <c r="K103" s="545"/>
      <c r="L103" s="546"/>
      <c r="M103" s="547"/>
      <c r="N103" s="935"/>
      <c r="O103" s="935"/>
      <c r="P103" s="1921"/>
      <c r="Q103" s="508"/>
    </row>
    <row r="104" spans="1:17" s="422" customFormat="1" ht="15.75" thickBot="1">
      <c r="A104" s="502"/>
      <c r="B104" s="492"/>
      <c r="C104" s="509">
        <v>100</v>
      </c>
      <c r="D104" s="485">
        <v>99</v>
      </c>
      <c r="E104" s="485">
        <v>98</v>
      </c>
      <c r="F104" s="485"/>
      <c r="G104" s="485"/>
      <c r="H104" s="485"/>
      <c r="I104" s="485"/>
      <c r="J104" s="485"/>
      <c r="K104" s="485"/>
      <c r="L104" s="485"/>
      <c r="M104" s="485"/>
      <c r="N104" s="934"/>
      <c r="O104" s="934"/>
      <c r="P104" s="1921"/>
      <c r="Q104" s="508"/>
    </row>
    <row r="105" spans="1:17" ht="15" thickTop="1">
      <c r="A105" s="548"/>
      <c r="B105" s="487" t="s">
        <v>1738</v>
      </c>
      <c r="C105" s="3453" t="s">
        <v>3449</v>
      </c>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3453" t="s">
        <v>3451</v>
      </c>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3453" t="s">
        <v>3452</v>
      </c>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3453" t="s">
        <v>3453</v>
      </c>
      <c r="D122" s="3453" t="s">
        <v>3451</v>
      </c>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49.02</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5">
      <c r="A4" s="355" t="s">
        <v>1769</v>
      </c>
      <c r="B4" s="356"/>
      <c r="C4" s="3699" t="s">
        <v>1770</v>
      </c>
      <c r="D4" s="3700"/>
      <c r="E4" s="3701" t="s">
        <v>1771</v>
      </c>
      <c r="F4" s="3702"/>
      <c r="G4" s="3699" t="s">
        <v>1772</v>
      </c>
      <c r="H4" s="3700"/>
      <c r="I4" s="3699" t="s">
        <v>1773</v>
      </c>
      <c r="J4" s="3700"/>
      <c r="K4" s="559" t="s">
        <v>1774</v>
      </c>
      <c r="L4" s="2713"/>
      <c r="M4" s="2714"/>
      <c r="N4" s="2714"/>
      <c r="O4" s="2714"/>
      <c r="P4" s="3703" t="s">
        <v>1775</v>
      </c>
      <c r="Q4" s="3704"/>
      <c r="R4" s="3709" t="s">
        <v>1771</v>
      </c>
      <c r="S4" s="3710"/>
      <c r="T4" s="3709" t="s">
        <v>1772</v>
      </c>
      <c r="U4" s="3710"/>
      <c r="V4" s="3715" t="s">
        <v>1773</v>
      </c>
      <c r="W4" s="3715"/>
      <c r="X4" s="1355"/>
      <c r="Y4" s="3709" t="s">
        <v>1775</v>
      </c>
      <c r="Z4" s="3710"/>
      <c r="AA4" s="3696" t="s">
        <v>1771</v>
      </c>
      <c r="AB4" s="3715" t="s">
        <v>1772</v>
      </c>
      <c r="AC4" s="3696" t="s">
        <v>1773</v>
      </c>
    </row>
    <row r="5" spans="1:29" ht="15">
      <c r="A5" s="358"/>
      <c r="B5" s="359"/>
      <c r="C5" s="3718" t="s">
        <v>1673</v>
      </c>
      <c r="D5" s="3719"/>
      <c r="E5" s="3726" t="s">
        <v>1674</v>
      </c>
      <c r="F5" s="3727"/>
      <c r="G5" s="3718" t="s">
        <v>1675</v>
      </c>
      <c r="H5" s="3719"/>
      <c r="I5" s="3718" t="s">
        <v>1676</v>
      </c>
      <c r="J5" s="3719"/>
      <c r="K5" s="559"/>
      <c r="L5" s="2713"/>
      <c r="M5" s="2714"/>
      <c r="N5" s="2714"/>
      <c r="O5" s="2714"/>
      <c r="P5" s="3705"/>
      <c r="Q5" s="3706"/>
      <c r="R5" s="3711"/>
      <c r="S5" s="3712"/>
      <c r="T5" s="3711"/>
      <c r="U5" s="3712"/>
      <c r="V5" s="3715"/>
      <c r="W5" s="3715"/>
      <c r="X5" s="1355"/>
      <c r="Y5" s="3711"/>
      <c r="Z5" s="3712"/>
      <c r="AA5" s="3697"/>
      <c r="AB5" s="3715"/>
      <c r="AC5" s="3697"/>
    </row>
    <row r="6" spans="1:29" ht="15.75" thickBot="1">
      <c r="A6" s="360"/>
      <c r="B6" s="361"/>
      <c r="C6" s="3716" t="s">
        <v>1677</v>
      </c>
      <c r="D6" s="3717"/>
      <c r="E6" s="3724" t="s">
        <v>1677</v>
      </c>
      <c r="F6" s="3725"/>
      <c r="G6" s="3716" t="s">
        <v>1677</v>
      </c>
      <c r="H6" s="3717"/>
      <c r="I6" s="3716" t="s">
        <v>1677</v>
      </c>
      <c r="J6" s="3717"/>
      <c r="K6" s="559" t="s">
        <v>1678</v>
      </c>
      <c r="L6" s="2713"/>
      <c r="M6" s="2714"/>
      <c r="N6" s="2714"/>
      <c r="O6" s="2714"/>
      <c r="P6" s="3707"/>
      <c r="Q6" s="3708"/>
      <c r="R6" s="3711"/>
      <c r="S6" s="3712"/>
      <c r="T6" s="3713"/>
      <c r="U6" s="3714"/>
      <c r="V6" s="3715"/>
      <c r="W6" s="3715"/>
      <c r="X6" s="1355"/>
      <c r="Y6" s="3713"/>
      <c r="Z6" s="3714"/>
      <c r="AA6" s="3698"/>
      <c r="AB6" s="3715"/>
      <c r="AC6" s="3698"/>
    </row>
    <row r="7" spans="1:29" s="108" customFormat="1" ht="15.75" thickBot="1">
      <c r="A7" s="362" t="s">
        <v>1679</v>
      </c>
      <c r="B7" s="363"/>
      <c r="C7" s="364">
        <f>'数据-取费表'!B2</f>
        <v>45052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20" t="s">
        <v>1683</v>
      </c>
      <c r="Q8" s="3721"/>
      <c r="R8" s="701" t="s">
        <v>14</v>
      </c>
      <c r="S8" s="702">
        <f t="shared" si="0"/>
        <v>100</v>
      </c>
      <c r="T8" s="701" t="s">
        <v>14</v>
      </c>
      <c r="U8" s="702">
        <f t="shared" si="1"/>
        <v>100</v>
      </c>
      <c r="V8" s="701" t="s">
        <v>14</v>
      </c>
      <c r="W8" s="702">
        <f t="shared" si="2"/>
        <v>100</v>
      </c>
      <c r="X8" s="703"/>
      <c r="Y8" s="3720" t="s">
        <v>1683</v>
      </c>
      <c r="Z8" s="372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5"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5"/>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5"/>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5"/>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5"/>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93" t="s">
        <v>1691</v>
      </c>
      <c r="Q15" s="1352" t="str">
        <f t="shared" si="6"/>
        <v>商业繁华度</v>
      </c>
      <c r="R15" s="705" t="s">
        <v>14</v>
      </c>
      <c r="S15" s="706">
        <f t="shared" si="0"/>
        <v>100</v>
      </c>
      <c r="T15" s="705" t="s">
        <v>14</v>
      </c>
      <c r="U15" s="706">
        <f t="shared" si="1"/>
        <v>100</v>
      </c>
      <c r="V15" s="705" t="s">
        <v>14</v>
      </c>
      <c r="W15" s="706">
        <f t="shared" si="2"/>
        <v>100</v>
      </c>
      <c r="X15" s="1355"/>
      <c r="Y15" s="368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94"/>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94"/>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94"/>
      <c r="Q18" s="1352"/>
      <c r="R18" s="705"/>
      <c r="S18" s="706"/>
      <c r="T18" s="705"/>
      <c r="U18" s="706"/>
      <c r="V18" s="705"/>
      <c r="W18" s="706"/>
      <c r="X18" s="1355"/>
      <c r="Y18" s="368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94"/>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94"/>
      <c r="Q20" s="1352"/>
      <c r="R20" s="705"/>
      <c r="S20" s="706"/>
      <c r="T20" s="705"/>
      <c r="U20" s="706"/>
      <c r="V20" s="705"/>
      <c r="W20" s="706"/>
      <c r="X20" s="1355"/>
      <c r="Y20" s="368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94"/>
      <c r="Q22" s="1352"/>
      <c r="R22" s="705"/>
      <c r="S22" s="706"/>
      <c r="T22" s="705"/>
      <c r="U22" s="706"/>
      <c r="V22" s="705"/>
      <c r="W22" s="706"/>
      <c r="X22" s="1355"/>
      <c r="Y22" s="3687"/>
      <c r="Z22" s="1356"/>
      <c r="AA22" s="1353">
        <v>1</v>
      </c>
      <c r="AB22" s="1353">
        <v>1</v>
      </c>
      <c r="AC22" s="1353">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94"/>
      <c r="Q23" s="1352" t="str">
        <f>B23</f>
        <v>自然及人文环境</v>
      </c>
      <c r="R23" s="705" t="s">
        <v>14</v>
      </c>
      <c r="S23" s="706">
        <f>F23</f>
        <v>100</v>
      </c>
      <c r="T23" s="705" t="s">
        <v>14</v>
      </c>
      <c r="U23" s="706">
        <f>H23</f>
        <v>100</v>
      </c>
      <c r="V23" s="705" t="s">
        <v>14</v>
      </c>
      <c r="W23" s="706">
        <f>J23</f>
        <v>100</v>
      </c>
      <c r="X23" s="1355"/>
      <c r="Y23" s="368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94"/>
      <c r="Q24" s="1352"/>
      <c r="R24" s="705"/>
      <c r="S24" s="706"/>
      <c r="T24" s="705"/>
      <c r="U24" s="706"/>
      <c r="V24" s="705"/>
      <c r="W24" s="706"/>
      <c r="X24" s="1355"/>
      <c r="Y24" s="368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94"/>
      <c r="Q25" s="1352" t="str">
        <f t="shared" ref="Q25:Q46" si="11">B25</f>
        <v>临街状况</v>
      </c>
      <c r="R25" s="705" t="s">
        <v>14</v>
      </c>
      <c r="S25" s="706">
        <f>F25</f>
        <v>100</v>
      </c>
      <c r="T25" s="705" t="s">
        <v>14</v>
      </c>
      <c r="U25" s="706">
        <f>H25</f>
        <v>100</v>
      </c>
      <c r="V25" s="705" t="s">
        <v>14</v>
      </c>
      <c r="W25" s="706">
        <f>J25</f>
        <v>100</v>
      </c>
      <c r="X25" s="1355"/>
      <c r="Y25" s="368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4"/>
      <c r="Q26" s="1352" t="str">
        <f t="shared" si="11"/>
        <v>平面位置/可视性</v>
      </c>
      <c r="R26" s="705" t="s">
        <v>14</v>
      </c>
      <c r="S26" s="706">
        <f>F26</f>
        <v>100</v>
      </c>
      <c r="T26" s="705" t="s">
        <v>14</v>
      </c>
      <c r="U26" s="706">
        <f>H26</f>
        <v>100</v>
      </c>
      <c r="V26" s="705" t="s">
        <v>14</v>
      </c>
      <c r="W26" s="706">
        <f>J26</f>
        <v>100</v>
      </c>
      <c r="X26" s="1355"/>
      <c r="Y26" s="3687"/>
      <c r="Z26" s="1356" t="str">
        <f>Q26</f>
        <v>平面位置/可视性</v>
      </c>
      <c r="AA26" s="1353">
        <f t="shared" si="3"/>
        <v>1</v>
      </c>
      <c r="AB26" s="1353">
        <f t="shared" si="4"/>
        <v>1</v>
      </c>
      <c r="AC26" s="1353">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94"/>
      <c r="Q27" s="1343" t="str">
        <f t="shared" si="11"/>
        <v>人流量</v>
      </c>
      <c r="R27" s="701" t="s">
        <v>14</v>
      </c>
      <c r="S27" s="702">
        <f>F27</f>
        <v>100</v>
      </c>
      <c r="T27" s="701" t="s">
        <v>14</v>
      </c>
      <c r="U27" s="702">
        <f>H27</f>
        <v>100</v>
      </c>
      <c r="V27" s="701" t="s">
        <v>14</v>
      </c>
      <c r="W27" s="702">
        <f>J27</f>
        <v>100</v>
      </c>
      <c r="X27" s="703"/>
      <c r="Y27" s="368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9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4"/>
      <c r="Q29" s="1352">
        <f t="shared" si="11"/>
        <v>111</v>
      </c>
      <c r="R29" s="705" t="s">
        <v>14</v>
      </c>
      <c r="S29" s="706">
        <f t="shared" si="12"/>
        <v>100</v>
      </c>
      <c r="T29" s="705" t="s">
        <v>14</v>
      </c>
      <c r="U29" s="706">
        <f t="shared" si="13"/>
        <v>100</v>
      </c>
      <c r="V29" s="705" t="s">
        <v>14</v>
      </c>
      <c r="W29" s="706">
        <f t="shared" si="14"/>
        <v>100</v>
      </c>
      <c r="X29" s="1355"/>
      <c r="Y29" s="368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4"/>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4"/>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88" t="s">
        <v>1696</v>
      </c>
      <c r="Q32" s="1352" t="str">
        <f t="shared" si="11"/>
        <v>商业类型</v>
      </c>
      <c r="R32" s="705" t="s">
        <v>14</v>
      </c>
      <c r="S32" s="706">
        <f t="shared" si="12"/>
        <v>100</v>
      </c>
      <c r="T32" s="705" t="s">
        <v>14</v>
      </c>
      <c r="U32" s="706">
        <f t="shared" si="13"/>
        <v>100</v>
      </c>
      <c r="V32" s="705" t="s">
        <v>14</v>
      </c>
      <c r="W32" s="706">
        <f t="shared" si="14"/>
        <v>100</v>
      </c>
      <c r="X32" s="1355"/>
      <c r="Y32" s="369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89"/>
      <c r="Q33" s="707" t="str">
        <f t="shared" si="11"/>
        <v>项目建筑规模</v>
      </c>
      <c r="R33" s="708" t="s">
        <v>14</v>
      </c>
      <c r="S33" s="709" t="e">
        <f t="shared" si="12"/>
        <v>#N/A</v>
      </c>
      <c r="T33" s="708" t="s">
        <v>14</v>
      </c>
      <c r="U33" s="709" t="e">
        <f t="shared" si="13"/>
        <v>#N/A</v>
      </c>
      <c r="V33" s="708" t="s">
        <v>14</v>
      </c>
      <c r="W33" s="709" t="e">
        <f t="shared" si="14"/>
        <v>#N/A</v>
      </c>
      <c r="X33" s="710"/>
      <c r="Y33" s="3691"/>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689"/>
      <c r="Q34" s="1352" t="str">
        <f t="shared" si="11"/>
        <v>建筑结构</v>
      </c>
      <c r="R34" s="705" t="s">
        <v>14</v>
      </c>
      <c r="S34" s="706">
        <f t="shared" si="12"/>
        <v>100</v>
      </c>
      <c r="T34" s="705" t="s">
        <v>14</v>
      </c>
      <c r="U34" s="706">
        <f t="shared" si="13"/>
        <v>100</v>
      </c>
      <c r="V34" s="705" t="s">
        <v>14</v>
      </c>
      <c r="W34" s="706">
        <f t="shared" si="14"/>
        <v>100</v>
      </c>
      <c r="X34" s="1355"/>
      <c r="Y34" s="369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89"/>
      <c r="Q35" s="1352" t="str">
        <f t="shared" si="11"/>
        <v>公共部分装修</v>
      </c>
      <c r="R35" s="705" t="s">
        <v>14</v>
      </c>
      <c r="S35" s="706">
        <f t="shared" si="12"/>
        <v>100</v>
      </c>
      <c r="T35" s="705" t="s">
        <v>14</v>
      </c>
      <c r="U35" s="706">
        <f t="shared" si="13"/>
        <v>100</v>
      </c>
      <c r="V35" s="705" t="s">
        <v>14</v>
      </c>
      <c r="W35" s="706">
        <f t="shared" si="14"/>
        <v>100</v>
      </c>
      <c r="X35" s="1355"/>
      <c r="Y35" s="369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89"/>
      <c r="Q36" s="1352" t="str">
        <f t="shared" si="11"/>
        <v>成新度</v>
      </c>
      <c r="R36" s="705" t="s">
        <v>14</v>
      </c>
      <c r="S36" s="706" t="e">
        <f t="shared" si="12"/>
        <v>#N/A</v>
      </c>
      <c r="T36" s="705" t="s">
        <v>14</v>
      </c>
      <c r="U36" s="706" t="e">
        <f t="shared" si="13"/>
        <v>#N/A</v>
      </c>
      <c r="V36" s="705" t="s">
        <v>14</v>
      </c>
      <c r="W36" s="706" t="e">
        <f t="shared" si="14"/>
        <v>#N/A</v>
      </c>
      <c r="X36" s="1355"/>
      <c r="Y36" s="369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89"/>
      <c r="Q37" s="1343" t="str">
        <f t="shared" si="11"/>
        <v>市政基础设施</v>
      </c>
      <c r="R37" s="701" t="s">
        <v>14</v>
      </c>
      <c r="S37" s="702">
        <f t="shared" si="12"/>
        <v>100</v>
      </c>
      <c r="T37" s="701" t="s">
        <v>14</v>
      </c>
      <c r="U37" s="702">
        <f t="shared" si="13"/>
        <v>100</v>
      </c>
      <c r="V37" s="701" t="s">
        <v>14</v>
      </c>
      <c r="W37" s="702">
        <f t="shared" si="14"/>
        <v>100</v>
      </c>
      <c r="X37" s="703"/>
      <c r="Y37" s="369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89" t="s">
        <v>1696</v>
      </c>
      <c r="Q38" s="1352" t="str">
        <f t="shared" si="11"/>
        <v>业态</v>
      </c>
      <c r="R38" s="705" t="s">
        <v>14</v>
      </c>
      <c r="S38" s="706">
        <f t="shared" si="12"/>
        <v>100</v>
      </c>
      <c r="T38" s="705" t="s">
        <v>14</v>
      </c>
      <c r="U38" s="706">
        <f t="shared" si="13"/>
        <v>100</v>
      </c>
      <c r="V38" s="705" t="s">
        <v>14</v>
      </c>
      <c r="W38" s="706">
        <f t="shared" si="14"/>
        <v>100</v>
      </c>
      <c r="X38" s="1355"/>
      <c r="Y38" s="369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89"/>
      <c r="Q39" s="1352" t="str">
        <f t="shared" si="11"/>
        <v>层高</v>
      </c>
      <c r="R39" s="705" t="s">
        <v>14</v>
      </c>
      <c r="S39" s="706">
        <f t="shared" si="12"/>
        <v>100</v>
      </c>
      <c r="T39" s="705" t="s">
        <v>14</v>
      </c>
      <c r="U39" s="706">
        <f t="shared" si="13"/>
        <v>100</v>
      </c>
      <c r="V39" s="705" t="s">
        <v>14</v>
      </c>
      <c r="W39" s="706">
        <f t="shared" si="14"/>
        <v>100</v>
      </c>
      <c r="X39" s="1355"/>
      <c r="Y39" s="369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89"/>
      <c r="Q40" s="1352" t="str">
        <f t="shared" si="11"/>
        <v>单套建筑面积</v>
      </c>
      <c r="R40" s="705" t="s">
        <v>14</v>
      </c>
      <c r="S40" s="706">
        <f t="shared" si="12"/>
        <v>100</v>
      </c>
      <c r="T40" s="705" t="s">
        <v>14</v>
      </c>
      <c r="U40" s="706">
        <f t="shared" si="13"/>
        <v>100</v>
      </c>
      <c r="V40" s="705" t="s">
        <v>14</v>
      </c>
      <c r="W40" s="706">
        <f t="shared" si="14"/>
        <v>100</v>
      </c>
      <c r="X40" s="1355"/>
      <c r="Y40" s="369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9"/>
      <c r="Q41" s="707" t="str">
        <f t="shared" si="11"/>
        <v>进深比</v>
      </c>
      <c r="R41" s="708" t="s">
        <v>14</v>
      </c>
      <c r="S41" s="709">
        <f t="shared" si="12"/>
        <v>100</v>
      </c>
      <c r="T41" s="708" t="s">
        <v>14</v>
      </c>
      <c r="U41" s="709">
        <f t="shared" si="13"/>
        <v>100</v>
      </c>
      <c r="V41" s="708" t="s">
        <v>14</v>
      </c>
      <c r="W41" s="709">
        <f t="shared" si="14"/>
        <v>100</v>
      </c>
      <c r="X41" s="710"/>
      <c r="Y41" s="369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89"/>
      <c r="Q42" s="1352" t="str">
        <f t="shared" si="11"/>
        <v>内部装修</v>
      </c>
      <c r="R42" s="705" t="s">
        <v>14</v>
      </c>
      <c r="S42" s="706">
        <f t="shared" si="12"/>
        <v>100</v>
      </c>
      <c r="T42" s="705" t="s">
        <v>14</v>
      </c>
      <c r="U42" s="706">
        <f t="shared" si="13"/>
        <v>100</v>
      </c>
      <c r="V42" s="705" t="s">
        <v>14</v>
      </c>
      <c r="W42" s="706">
        <f t="shared" si="14"/>
        <v>100</v>
      </c>
      <c r="X42" s="1355"/>
      <c r="Y42" s="369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89"/>
      <c r="Q43" s="1352" t="str">
        <f t="shared" si="11"/>
        <v>内部装修维护情况</v>
      </c>
      <c r="R43" s="705" t="s">
        <v>14</v>
      </c>
      <c r="S43" s="706">
        <f t="shared" si="12"/>
        <v>100</v>
      </c>
      <c r="T43" s="705" t="s">
        <v>14</v>
      </c>
      <c r="U43" s="706">
        <f t="shared" si="13"/>
        <v>100</v>
      </c>
      <c r="V43" s="705" t="s">
        <v>14</v>
      </c>
      <c r="W43" s="706">
        <f t="shared" si="14"/>
        <v>100</v>
      </c>
      <c r="X43" s="1355"/>
      <c r="Y43" s="369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9"/>
      <c r="Q44" s="1343">
        <f t="shared" si="11"/>
        <v>111</v>
      </c>
      <c r="R44" s="701" t="s">
        <v>14</v>
      </c>
      <c r="S44" s="702">
        <f t="shared" si="12"/>
        <v>100</v>
      </c>
      <c r="T44" s="701" t="s">
        <v>14</v>
      </c>
      <c r="U44" s="702">
        <f t="shared" si="13"/>
        <v>100</v>
      </c>
      <c r="V44" s="701" t="s">
        <v>14</v>
      </c>
      <c r="W44" s="702">
        <f t="shared" si="14"/>
        <v>100</v>
      </c>
      <c r="X44" s="703"/>
      <c r="Y44" s="369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9"/>
      <c r="Q45" s="1352">
        <f t="shared" si="11"/>
        <v>111</v>
      </c>
      <c r="R45" s="705" t="s">
        <v>14</v>
      </c>
      <c r="S45" s="706">
        <f t="shared" si="12"/>
        <v>100</v>
      </c>
      <c r="T45" s="705" t="s">
        <v>14</v>
      </c>
      <c r="U45" s="706">
        <f t="shared" si="13"/>
        <v>100</v>
      </c>
      <c r="V45" s="705" t="s">
        <v>14</v>
      </c>
      <c r="W45" s="706">
        <f t="shared" si="14"/>
        <v>100</v>
      </c>
      <c r="X45" s="1355"/>
      <c r="Y45" s="369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84" t="str">
        <f>A47</f>
        <v>成交单价（元/平方米）</v>
      </c>
      <c r="Q47" s="3684"/>
      <c r="R47" s="3715">
        <f>E47</f>
        <v>0</v>
      </c>
      <c r="S47" s="3715"/>
      <c r="T47" s="3715">
        <f>G47</f>
        <v>0</v>
      </c>
      <c r="U47" s="3715"/>
      <c r="V47" s="3715">
        <f>I47</f>
        <v>0</v>
      </c>
      <c r="W47" s="3715"/>
      <c r="X47" s="690"/>
      <c r="Y47" s="712"/>
      <c r="Z47" s="690"/>
      <c r="AA47" s="690"/>
      <c r="AB47" s="690"/>
      <c r="AC47" s="690"/>
    </row>
    <row r="48" spans="1:29" ht="15.75" thickBot="1">
      <c r="A48" s="437" t="s">
        <v>1793</v>
      </c>
      <c r="B48" s="438"/>
      <c r="C48" s="1160" t="e">
        <f>R49</f>
        <v>#DIV/0!</v>
      </c>
      <c r="D48" s="2315" t="s">
        <v>2138</v>
      </c>
      <c r="E48" s="1161" t="e">
        <f>R48</f>
        <v>#DIV/0!</v>
      </c>
      <c r="F48" s="2316"/>
      <c r="G48" s="1160" t="e">
        <f>T48</f>
        <v>#DIV/0!</v>
      </c>
      <c r="H48" s="2316"/>
      <c r="I48" s="1161" t="e">
        <f>V48</f>
        <v>#DIV/0!</v>
      </c>
      <c r="J48" s="2316"/>
      <c r="K48" s="2318">
        <f>F48+H48+J48</f>
        <v>0</v>
      </c>
      <c r="L48" s="2722"/>
      <c r="M48" s="2723"/>
      <c r="N48" s="2714"/>
      <c r="O48" s="2723"/>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49.02</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9" t="s">
        <v>1770</v>
      </c>
      <c r="D4" s="3700"/>
      <c r="E4" s="3701" t="s">
        <v>1771</v>
      </c>
      <c r="F4" s="3702"/>
      <c r="G4" s="3699" t="s">
        <v>1772</v>
      </c>
      <c r="H4" s="3700"/>
      <c r="I4" s="3699" t="s">
        <v>1773</v>
      </c>
      <c r="J4" s="3700"/>
      <c r="K4" s="559" t="s">
        <v>1774</v>
      </c>
      <c r="L4" s="2713"/>
      <c r="M4" s="2714"/>
      <c r="N4" s="2714"/>
      <c r="O4" s="2714"/>
      <c r="P4" s="3734" t="s">
        <v>1775</v>
      </c>
      <c r="Q4" s="3735"/>
      <c r="R4" s="3738" t="s">
        <v>1771</v>
      </c>
      <c r="S4" s="3739"/>
      <c r="T4" s="3738" t="s">
        <v>1772</v>
      </c>
      <c r="U4" s="3739"/>
      <c r="V4" s="3740" t="s">
        <v>1773</v>
      </c>
      <c r="W4" s="3740"/>
      <c r="X4" s="1956"/>
      <c r="Y4" s="3738" t="s">
        <v>1775</v>
      </c>
      <c r="Z4" s="3739"/>
      <c r="AA4" s="3742" t="s">
        <v>1771</v>
      </c>
      <c r="AB4" s="3742" t="s">
        <v>1772</v>
      </c>
      <c r="AC4" s="3731" t="s">
        <v>1773</v>
      </c>
    </row>
    <row r="5" spans="1:29" ht="15">
      <c r="A5" s="358"/>
      <c r="B5" s="359"/>
      <c r="C5" s="3718" t="s">
        <v>1673</v>
      </c>
      <c r="D5" s="3719"/>
      <c r="E5" s="3726" t="s">
        <v>1674</v>
      </c>
      <c r="F5" s="3727"/>
      <c r="G5" s="3718" t="s">
        <v>1675</v>
      </c>
      <c r="H5" s="3719"/>
      <c r="I5" s="3718" t="s">
        <v>1676</v>
      </c>
      <c r="J5" s="3719"/>
      <c r="K5" s="559"/>
      <c r="L5" s="2713"/>
      <c r="M5" s="2714"/>
      <c r="N5" s="2714"/>
      <c r="O5" s="2714"/>
      <c r="P5" s="3736"/>
      <c r="Q5" s="3706"/>
      <c r="R5" s="3711"/>
      <c r="S5" s="3712"/>
      <c r="T5" s="3711"/>
      <c r="U5" s="3712"/>
      <c r="V5" s="3715"/>
      <c r="W5" s="3715"/>
      <c r="X5" s="1355"/>
      <c r="Y5" s="3711"/>
      <c r="Z5" s="3712"/>
      <c r="AA5" s="3697"/>
      <c r="AB5" s="3697"/>
      <c r="AC5" s="3732"/>
    </row>
    <row r="6" spans="1:29" ht="15.75" thickBot="1">
      <c r="A6" s="360"/>
      <c r="B6" s="361"/>
      <c r="C6" s="3716" t="s">
        <v>1677</v>
      </c>
      <c r="D6" s="3717"/>
      <c r="E6" s="3724" t="s">
        <v>1677</v>
      </c>
      <c r="F6" s="3725"/>
      <c r="G6" s="3716" t="s">
        <v>1677</v>
      </c>
      <c r="H6" s="3717"/>
      <c r="I6" s="3716" t="s">
        <v>1677</v>
      </c>
      <c r="J6" s="3717"/>
      <c r="K6" s="559" t="s">
        <v>1678</v>
      </c>
      <c r="L6" s="2713"/>
      <c r="M6" s="2714"/>
      <c r="N6" s="2714"/>
      <c r="O6" s="2714"/>
      <c r="P6" s="3737"/>
      <c r="Q6" s="3708"/>
      <c r="R6" s="3711"/>
      <c r="S6" s="3712"/>
      <c r="T6" s="3713"/>
      <c r="U6" s="3714"/>
      <c r="V6" s="3715"/>
      <c r="W6" s="3715"/>
      <c r="X6" s="1355"/>
      <c r="Y6" s="3713"/>
      <c r="Z6" s="3714"/>
      <c r="AA6" s="3698"/>
      <c r="AB6" s="3698"/>
      <c r="AC6" s="3733"/>
    </row>
    <row r="7" spans="1:29" s="108" customFormat="1" ht="15.75" thickBot="1">
      <c r="A7" s="362" t="s">
        <v>1679</v>
      </c>
      <c r="B7" s="363"/>
      <c r="C7" s="364">
        <f>'数据-取费表'!B2</f>
        <v>45052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1"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1" t="s">
        <v>1683</v>
      </c>
      <c r="Q8" s="3721"/>
      <c r="R8" s="701" t="s">
        <v>14</v>
      </c>
      <c r="S8" s="702">
        <f t="shared" si="0"/>
        <v>100</v>
      </c>
      <c r="T8" s="701" t="s">
        <v>14</v>
      </c>
      <c r="U8" s="702">
        <f t="shared" si="1"/>
        <v>100</v>
      </c>
      <c r="V8" s="701" t="s">
        <v>14</v>
      </c>
      <c r="W8" s="702">
        <f t="shared" si="2"/>
        <v>100</v>
      </c>
      <c r="X8" s="703"/>
      <c r="Y8" s="3720" t="s">
        <v>1683</v>
      </c>
      <c r="Z8" s="3721"/>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95"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5"/>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95"/>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95"/>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95"/>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93" t="s">
        <v>1691</v>
      </c>
      <c r="Q15" s="1352" t="str">
        <f t="shared" si="6"/>
        <v>办公集聚程度</v>
      </c>
      <c r="R15" s="705" t="s">
        <v>14</v>
      </c>
      <c r="S15" s="706">
        <f t="shared" si="0"/>
        <v>100</v>
      </c>
      <c r="T15" s="705" t="s">
        <v>14</v>
      </c>
      <c r="U15" s="706">
        <f t="shared" si="1"/>
        <v>100</v>
      </c>
      <c r="V15" s="705" t="s">
        <v>14</v>
      </c>
      <c r="W15" s="706">
        <f t="shared" si="2"/>
        <v>100</v>
      </c>
      <c r="X15" s="1355"/>
      <c r="Y15" s="3686" t="s">
        <v>1691</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20"/>
      <c r="M16" s="2714"/>
      <c r="N16" s="2714"/>
      <c r="O16" s="2714"/>
      <c r="P16" s="3694"/>
      <c r="Q16" s="1352"/>
      <c r="R16" s="705"/>
      <c r="S16" s="706"/>
      <c r="T16" s="705"/>
      <c r="U16" s="706"/>
      <c r="V16" s="705"/>
      <c r="W16" s="706"/>
      <c r="X16" s="1355"/>
      <c r="Y16" s="3687"/>
      <c r="Z16" s="1356"/>
      <c r="AA16" s="1353">
        <v>1</v>
      </c>
      <c r="AB16" s="1353">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94"/>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20"/>
      <c r="M18" s="2714"/>
      <c r="N18" s="2714"/>
      <c r="O18" s="2714"/>
      <c r="P18" s="3694"/>
      <c r="Q18" s="1352"/>
      <c r="R18" s="705"/>
      <c r="S18" s="706"/>
      <c r="T18" s="705"/>
      <c r="U18" s="706"/>
      <c r="V18" s="705"/>
      <c r="W18" s="706"/>
      <c r="X18" s="1355"/>
      <c r="Y18" s="3687"/>
      <c r="Z18" s="1356"/>
      <c r="AA18" s="1353">
        <v>1</v>
      </c>
      <c r="AB18" s="1353">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94"/>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20"/>
      <c r="M20" s="2714"/>
      <c r="N20" s="2714"/>
      <c r="O20" s="2714"/>
      <c r="P20" s="3694"/>
      <c r="Q20" s="1352"/>
      <c r="R20" s="705"/>
      <c r="S20" s="706"/>
      <c r="T20" s="705"/>
      <c r="U20" s="706"/>
      <c r="V20" s="705"/>
      <c r="W20" s="706"/>
      <c r="X20" s="1355"/>
      <c r="Y20" s="3687"/>
      <c r="Z20" s="1356"/>
      <c r="AA20" s="1353">
        <v>1</v>
      </c>
      <c r="AB20" s="1353">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20"/>
      <c r="M22" s="2714"/>
      <c r="N22" s="2714"/>
      <c r="O22" s="2714"/>
      <c r="P22" s="3694"/>
      <c r="Q22" s="1352"/>
      <c r="R22" s="705"/>
      <c r="S22" s="706"/>
      <c r="T22" s="705"/>
      <c r="U22" s="706"/>
      <c r="V22" s="705"/>
      <c r="W22" s="706"/>
      <c r="X22" s="1355"/>
      <c r="Y22" s="3687"/>
      <c r="Z22" s="1356"/>
      <c r="AA22" s="1353">
        <v>1</v>
      </c>
      <c r="AB22" s="1353">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94"/>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20"/>
      <c r="M24" s="2714"/>
      <c r="N24" s="2714"/>
      <c r="O24" s="2714"/>
      <c r="P24" s="3694"/>
      <c r="Q24" s="1352"/>
      <c r="R24" s="705"/>
      <c r="S24" s="706"/>
      <c r="T24" s="705"/>
      <c r="U24" s="706"/>
      <c r="V24" s="705"/>
      <c r="W24" s="706"/>
      <c r="X24" s="1355"/>
      <c r="Y24" s="3687"/>
      <c r="Z24" s="1356"/>
      <c r="AA24" s="1353">
        <v>1</v>
      </c>
      <c r="AB24" s="1353">
        <v>1</v>
      </c>
      <c r="AC24" s="1960">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94"/>
      <c r="Q25" s="1352" t="str">
        <f>B25</f>
        <v>毗邻道路的类型与等级</v>
      </c>
      <c r="R25" s="705" t="s">
        <v>14</v>
      </c>
      <c r="S25" s="706">
        <f>F25</f>
        <v>100</v>
      </c>
      <c r="T25" s="705" t="s">
        <v>14</v>
      </c>
      <c r="U25" s="706">
        <f>H25</f>
        <v>100</v>
      </c>
      <c r="V25" s="705" t="s">
        <v>14</v>
      </c>
      <c r="W25" s="706">
        <f>J25</f>
        <v>100</v>
      </c>
      <c r="X25" s="1355"/>
      <c r="Y25" s="3687"/>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20"/>
      <c r="M26" s="2714"/>
      <c r="N26" s="2714"/>
      <c r="O26" s="2714"/>
      <c r="P26" s="3694"/>
      <c r="Q26" s="1352"/>
      <c r="R26" s="705"/>
      <c r="S26" s="706"/>
      <c r="T26" s="705"/>
      <c r="U26" s="706"/>
      <c r="V26" s="705"/>
      <c r="W26" s="706"/>
      <c r="X26" s="1355"/>
      <c r="Y26" s="3687"/>
      <c r="Z26" s="1356"/>
      <c r="AA26" s="1353">
        <v>1</v>
      </c>
      <c r="AB26" s="1353">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94"/>
      <c r="Q27" s="1352" t="str">
        <f t="shared" ref="Q27:Q47" si="11">B27</f>
        <v>楼层</v>
      </c>
      <c r="R27" s="705" t="s">
        <v>14</v>
      </c>
      <c r="S27" s="706">
        <f>F27</f>
        <v>100</v>
      </c>
      <c r="T27" s="705" t="s">
        <v>14</v>
      </c>
      <c r="U27" s="706">
        <f>H27</f>
        <v>100</v>
      </c>
      <c r="V27" s="705" t="s">
        <v>14</v>
      </c>
      <c r="W27" s="706">
        <f>J27</f>
        <v>100</v>
      </c>
      <c r="X27" s="1355"/>
      <c r="Y27" s="3687"/>
      <c r="Z27" s="1356" t="str">
        <f>Q27</f>
        <v>楼层</v>
      </c>
      <c r="AA27" s="1353">
        <f t="shared" si="3"/>
        <v>1</v>
      </c>
      <c r="AB27" s="1353">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94"/>
      <c r="Q28" s="1343" t="str">
        <f t="shared" si="11"/>
        <v>朝向</v>
      </c>
      <c r="R28" s="701" t="s">
        <v>14</v>
      </c>
      <c r="S28" s="702">
        <f>F28</f>
        <v>100</v>
      </c>
      <c r="T28" s="701" t="s">
        <v>14</v>
      </c>
      <c r="U28" s="702">
        <f>H28</f>
        <v>100</v>
      </c>
      <c r="V28" s="701" t="s">
        <v>14</v>
      </c>
      <c r="W28" s="702">
        <f>J28</f>
        <v>100</v>
      </c>
      <c r="X28" s="703"/>
      <c r="Y28" s="3687"/>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94"/>
      <c r="Q29" s="1352">
        <f t="shared" si="11"/>
        <v>111</v>
      </c>
      <c r="R29" s="705" t="s">
        <v>14</v>
      </c>
      <c r="S29" s="706">
        <f t="shared" ref="S29:S47" si="12">F29</f>
        <v>100</v>
      </c>
      <c r="T29" s="705" t="s">
        <v>14</v>
      </c>
      <c r="U29" s="706">
        <f t="shared" ref="U29:U47" si="13">H29</f>
        <v>100</v>
      </c>
      <c r="V29" s="705" t="s">
        <v>14</v>
      </c>
      <c r="W29" s="706">
        <f t="shared" ref="W29:W47" si="14">J29</f>
        <v>100</v>
      </c>
      <c r="X29" s="1355"/>
      <c r="Y29" s="3687"/>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94"/>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94"/>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94"/>
      <c r="Q32" s="1352">
        <f t="shared" si="11"/>
        <v>111</v>
      </c>
      <c r="R32" s="705" t="s">
        <v>14</v>
      </c>
      <c r="S32" s="706">
        <f t="shared" si="12"/>
        <v>100</v>
      </c>
      <c r="T32" s="705" t="s">
        <v>14</v>
      </c>
      <c r="U32" s="706">
        <f t="shared" si="13"/>
        <v>100</v>
      </c>
      <c r="V32" s="705" t="s">
        <v>14</v>
      </c>
      <c r="W32" s="706">
        <f t="shared" si="14"/>
        <v>100</v>
      </c>
      <c r="X32" s="1355"/>
      <c r="Y32" s="3687"/>
      <c r="Z32" s="1356">
        <f t="shared" si="15"/>
        <v>111</v>
      </c>
      <c r="AA32" s="1353">
        <f t="shared" si="3"/>
        <v>1</v>
      </c>
      <c r="AB32" s="1353">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88" t="s">
        <v>1696</v>
      </c>
      <c r="Q33" s="1352" t="str">
        <f t="shared" si="11"/>
        <v>建筑类型</v>
      </c>
      <c r="R33" s="705" t="s">
        <v>14</v>
      </c>
      <c r="S33" s="706">
        <f t="shared" si="12"/>
        <v>100</v>
      </c>
      <c r="T33" s="705" t="s">
        <v>14</v>
      </c>
      <c r="U33" s="706">
        <f t="shared" si="13"/>
        <v>100</v>
      </c>
      <c r="V33" s="705" t="s">
        <v>14</v>
      </c>
      <c r="W33" s="706">
        <f t="shared" si="14"/>
        <v>100</v>
      </c>
      <c r="X33" s="1355"/>
      <c r="Y33" s="3691" t="s">
        <v>1696</v>
      </c>
      <c r="Z33" s="1356" t="str">
        <f t="shared" si="15"/>
        <v>建筑类型</v>
      </c>
      <c r="AA33" s="1353">
        <f t="shared" si="3"/>
        <v>1</v>
      </c>
      <c r="AB33" s="1353">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89"/>
      <c r="Q34" s="707" t="str">
        <f t="shared" si="11"/>
        <v>项目建筑规模</v>
      </c>
      <c r="R34" s="708" t="s">
        <v>14</v>
      </c>
      <c r="S34" s="709" t="e">
        <f t="shared" si="12"/>
        <v>#N/A</v>
      </c>
      <c r="T34" s="708" t="s">
        <v>14</v>
      </c>
      <c r="U34" s="709" t="e">
        <f t="shared" si="13"/>
        <v>#N/A</v>
      </c>
      <c r="V34" s="708" t="s">
        <v>14</v>
      </c>
      <c r="W34" s="709" t="e">
        <f t="shared" si="14"/>
        <v>#N/A</v>
      </c>
      <c r="X34" s="710"/>
      <c r="Y34" s="3691"/>
      <c r="Z34" s="711" t="str">
        <f t="shared" si="15"/>
        <v>项目建筑规模</v>
      </c>
      <c r="AA34" s="1353" t="e">
        <f t="shared" si="3"/>
        <v>#N/A</v>
      </c>
      <c r="AB34" s="1353"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89"/>
      <c r="Q35" s="1352" t="str">
        <f t="shared" si="11"/>
        <v>建筑结构</v>
      </c>
      <c r="R35" s="705" t="s">
        <v>14</v>
      </c>
      <c r="S35" s="706">
        <f t="shared" si="12"/>
        <v>100</v>
      </c>
      <c r="T35" s="705" t="s">
        <v>14</v>
      </c>
      <c r="U35" s="706">
        <f t="shared" si="13"/>
        <v>100</v>
      </c>
      <c r="V35" s="705" t="s">
        <v>14</v>
      </c>
      <c r="W35" s="706">
        <f t="shared" si="14"/>
        <v>100</v>
      </c>
      <c r="X35" s="1355"/>
      <c r="Y35" s="3691"/>
      <c r="Z35" s="1356" t="str">
        <f t="shared" si="15"/>
        <v>建筑结构</v>
      </c>
      <c r="AA35" s="1353">
        <f t="shared" si="3"/>
        <v>1</v>
      </c>
      <c r="AB35" s="1353">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89"/>
      <c r="Q36" s="1352" t="str">
        <f t="shared" si="11"/>
        <v>公共部分装修</v>
      </c>
      <c r="R36" s="705" t="s">
        <v>14</v>
      </c>
      <c r="S36" s="706">
        <f t="shared" si="12"/>
        <v>100</v>
      </c>
      <c r="T36" s="705" t="s">
        <v>14</v>
      </c>
      <c r="U36" s="706">
        <f t="shared" si="13"/>
        <v>100</v>
      </c>
      <c r="V36" s="705" t="s">
        <v>14</v>
      </c>
      <c r="W36" s="706">
        <f t="shared" si="14"/>
        <v>100</v>
      </c>
      <c r="X36" s="1355"/>
      <c r="Y36" s="3691"/>
      <c r="Z36" s="1356" t="str">
        <f t="shared" si="15"/>
        <v>公共部分装修</v>
      </c>
      <c r="AA36" s="1353">
        <f t="shared" si="3"/>
        <v>1</v>
      </c>
      <c r="AB36" s="1353">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89"/>
      <c r="Q37" s="1352" t="str">
        <f t="shared" si="11"/>
        <v>成新度</v>
      </c>
      <c r="R37" s="705" t="s">
        <v>14</v>
      </c>
      <c r="S37" s="706" t="e">
        <f t="shared" si="12"/>
        <v>#N/A</v>
      </c>
      <c r="T37" s="705" t="s">
        <v>14</v>
      </c>
      <c r="U37" s="706" t="e">
        <f t="shared" si="13"/>
        <v>#N/A</v>
      </c>
      <c r="V37" s="705" t="s">
        <v>14</v>
      </c>
      <c r="W37" s="706" t="e">
        <f t="shared" si="14"/>
        <v>#N/A</v>
      </c>
      <c r="X37" s="1355"/>
      <c r="Y37" s="3691"/>
      <c r="Z37" s="1356" t="str">
        <f t="shared" si="15"/>
        <v>成新度</v>
      </c>
      <c r="AA37" s="1353" t="e">
        <f t="shared" si="3"/>
        <v>#N/A</v>
      </c>
      <c r="AB37" s="1353"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9"/>
      <c r="Q38" s="1343" t="str">
        <f t="shared" si="11"/>
        <v>写字楼等级</v>
      </c>
      <c r="R38" s="701" t="s">
        <v>14</v>
      </c>
      <c r="S38" s="702">
        <f t="shared" si="12"/>
        <v>100</v>
      </c>
      <c r="T38" s="701" t="s">
        <v>14</v>
      </c>
      <c r="U38" s="702">
        <f t="shared" si="13"/>
        <v>100</v>
      </c>
      <c r="V38" s="701" t="s">
        <v>14</v>
      </c>
      <c r="W38" s="702">
        <f t="shared" si="14"/>
        <v>100</v>
      </c>
      <c r="X38" s="703"/>
      <c r="Y38" s="3691"/>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89" t="s">
        <v>1696</v>
      </c>
      <c r="Q39" s="1352" t="str">
        <f t="shared" si="11"/>
        <v>物业管理</v>
      </c>
      <c r="R39" s="705" t="s">
        <v>14</v>
      </c>
      <c r="S39" s="706">
        <f t="shared" si="12"/>
        <v>100</v>
      </c>
      <c r="T39" s="705" t="s">
        <v>14</v>
      </c>
      <c r="U39" s="706">
        <f t="shared" si="13"/>
        <v>100</v>
      </c>
      <c r="V39" s="705" t="s">
        <v>14</v>
      </c>
      <c r="W39" s="706">
        <f t="shared" si="14"/>
        <v>100</v>
      </c>
      <c r="X39" s="1355"/>
      <c r="Y39" s="3691" t="s">
        <v>1696</v>
      </c>
      <c r="Z39" s="1356" t="str">
        <f t="shared" si="15"/>
        <v>物业管理</v>
      </c>
      <c r="AA39" s="1353">
        <f t="shared" si="3"/>
        <v>1</v>
      </c>
      <c r="AB39" s="1353">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89"/>
      <c r="Q40" s="1352" t="str">
        <f t="shared" si="11"/>
        <v>市政基础设施</v>
      </c>
      <c r="R40" s="705" t="s">
        <v>14</v>
      </c>
      <c r="S40" s="706">
        <f t="shared" si="12"/>
        <v>100</v>
      </c>
      <c r="T40" s="705" t="s">
        <v>14</v>
      </c>
      <c r="U40" s="706">
        <f t="shared" si="13"/>
        <v>100</v>
      </c>
      <c r="V40" s="705" t="s">
        <v>14</v>
      </c>
      <c r="W40" s="706">
        <f t="shared" si="14"/>
        <v>100</v>
      </c>
      <c r="X40" s="1355"/>
      <c r="Y40" s="3691"/>
      <c r="Z40" s="1356" t="str">
        <f t="shared" si="15"/>
        <v>市政基础设施</v>
      </c>
      <c r="AA40" s="1353">
        <f t="shared" si="3"/>
        <v>1</v>
      </c>
      <c r="AB40" s="1353">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89"/>
      <c r="Q41" s="1352" t="str">
        <f t="shared" si="11"/>
        <v>层高</v>
      </c>
      <c r="R41" s="705" t="s">
        <v>14</v>
      </c>
      <c r="S41" s="706">
        <f t="shared" si="12"/>
        <v>100</v>
      </c>
      <c r="T41" s="705" t="s">
        <v>14</v>
      </c>
      <c r="U41" s="706">
        <f t="shared" si="13"/>
        <v>100</v>
      </c>
      <c r="V41" s="705" t="s">
        <v>14</v>
      </c>
      <c r="W41" s="706">
        <f t="shared" si="14"/>
        <v>100</v>
      </c>
      <c r="X41" s="1355"/>
      <c r="Y41" s="3691"/>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9"/>
      <c r="Q42" s="707" t="str">
        <f t="shared" si="11"/>
        <v>单套建筑面积</v>
      </c>
      <c r="R42" s="708" t="s">
        <v>14</v>
      </c>
      <c r="S42" s="709">
        <f t="shared" si="12"/>
        <v>100</v>
      </c>
      <c r="T42" s="708" t="s">
        <v>14</v>
      </c>
      <c r="U42" s="709">
        <f t="shared" si="13"/>
        <v>100</v>
      </c>
      <c r="V42" s="708" t="s">
        <v>14</v>
      </c>
      <c r="W42" s="709">
        <f t="shared" si="14"/>
        <v>100</v>
      </c>
      <c r="X42" s="710"/>
      <c r="Y42" s="3691"/>
      <c r="Z42" s="711" t="str">
        <f t="shared" si="15"/>
        <v>单套建筑面积</v>
      </c>
      <c r="AA42" s="1353">
        <f t="shared" si="3"/>
        <v>1</v>
      </c>
      <c r="AB42" s="1353">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89"/>
      <c r="Q43" s="1352" t="str">
        <f t="shared" si="11"/>
        <v>内部装修</v>
      </c>
      <c r="R43" s="705" t="s">
        <v>14</v>
      </c>
      <c r="S43" s="706">
        <f t="shared" si="12"/>
        <v>100</v>
      </c>
      <c r="T43" s="705" t="s">
        <v>14</v>
      </c>
      <c r="U43" s="706">
        <f t="shared" si="13"/>
        <v>100</v>
      </c>
      <c r="V43" s="705" t="s">
        <v>14</v>
      </c>
      <c r="W43" s="706">
        <f t="shared" si="14"/>
        <v>100</v>
      </c>
      <c r="X43" s="1355"/>
      <c r="Y43" s="3691"/>
      <c r="Z43" s="1356" t="str">
        <f t="shared" si="15"/>
        <v>内部装修</v>
      </c>
      <c r="AA43" s="1353">
        <f t="shared" si="3"/>
        <v>1</v>
      </c>
      <c r="AB43" s="1353">
        <f t="shared" si="4"/>
        <v>1</v>
      </c>
      <c r="AC43" s="1960">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89"/>
      <c r="Q44" s="1352" t="str">
        <f t="shared" si="11"/>
        <v>内部装修维护情况</v>
      </c>
      <c r="R44" s="705" t="s">
        <v>14</v>
      </c>
      <c r="S44" s="706">
        <f t="shared" si="12"/>
        <v>100</v>
      </c>
      <c r="T44" s="705" t="s">
        <v>14</v>
      </c>
      <c r="U44" s="706">
        <f t="shared" si="13"/>
        <v>100</v>
      </c>
      <c r="V44" s="705" t="s">
        <v>14</v>
      </c>
      <c r="W44" s="706">
        <f t="shared" si="14"/>
        <v>100</v>
      </c>
      <c r="X44" s="1355"/>
      <c r="Y44" s="3691"/>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9"/>
      <c r="Q45" s="1343">
        <f t="shared" si="11"/>
        <v>111</v>
      </c>
      <c r="R45" s="701" t="s">
        <v>14</v>
      </c>
      <c r="S45" s="702">
        <f t="shared" si="12"/>
        <v>100</v>
      </c>
      <c r="T45" s="701" t="s">
        <v>14</v>
      </c>
      <c r="U45" s="702">
        <f t="shared" si="13"/>
        <v>100</v>
      </c>
      <c r="V45" s="701" t="s">
        <v>14</v>
      </c>
      <c r="W45" s="702">
        <f t="shared" si="14"/>
        <v>100</v>
      </c>
      <c r="X45" s="703"/>
      <c r="Y45" s="3691"/>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0"/>
      <c r="Q47" s="1352">
        <f t="shared" si="11"/>
        <v>111</v>
      </c>
      <c r="R47" s="705" t="s">
        <v>14</v>
      </c>
      <c r="S47" s="706">
        <f t="shared" si="12"/>
        <v>100</v>
      </c>
      <c r="T47" s="705" t="s">
        <v>14</v>
      </c>
      <c r="U47" s="706">
        <f t="shared" si="13"/>
        <v>100</v>
      </c>
      <c r="V47" s="705" t="s">
        <v>14</v>
      </c>
      <c r="W47" s="706">
        <f t="shared" si="14"/>
        <v>100</v>
      </c>
      <c r="X47" s="1355"/>
      <c r="Y47" s="3692"/>
      <c r="Z47" s="1356">
        <f t="shared" si="15"/>
        <v>111</v>
      </c>
      <c r="AA47" s="1353">
        <f t="shared" si="3"/>
        <v>1</v>
      </c>
      <c r="AB47" s="1353">
        <f t="shared" si="4"/>
        <v>1</v>
      </c>
      <c r="AC47" s="1960">
        <f t="shared" si="5"/>
        <v>1</v>
      </c>
    </row>
    <row r="48" spans="1:29" ht="15">
      <c r="A48" s="430" t="s">
        <v>1708</v>
      </c>
      <c r="B48" s="431"/>
      <c r="C48" s="1154" t="s">
        <v>0</v>
      </c>
      <c r="D48" s="1155"/>
      <c r="E48" s="1156"/>
      <c r="F48" s="1157"/>
      <c r="G48" s="1158"/>
      <c r="H48" s="1159"/>
      <c r="I48" s="1156"/>
      <c r="J48" s="436"/>
      <c r="K48" s="714"/>
      <c r="L48" s="2722"/>
      <c r="M48" s="2714"/>
      <c r="N48" s="2714"/>
      <c r="O48" s="2714"/>
      <c r="P48" s="3695" t="str">
        <f>A48</f>
        <v>成交单价（元/平方米）</v>
      </c>
      <c r="Q48" s="3684"/>
      <c r="R48" s="3685">
        <f>E48</f>
        <v>0</v>
      </c>
      <c r="S48" s="3685"/>
      <c r="T48" s="3685">
        <f>G48</f>
        <v>0</v>
      </c>
      <c r="U48" s="3685"/>
      <c r="V48" s="3685">
        <f>I48</f>
        <v>0</v>
      </c>
      <c r="W48" s="3685"/>
      <c r="X48" s="397"/>
      <c r="Y48" s="712"/>
      <c r="Z48" s="397"/>
      <c r="AA48" s="397"/>
      <c r="AB48" s="397"/>
      <c r="AC48" s="578"/>
    </row>
    <row r="49" spans="1:29" ht="15.75" thickBot="1">
      <c r="A49" s="437" t="s">
        <v>1793</v>
      </c>
      <c r="B49" s="438"/>
      <c r="C49" s="1160" t="e">
        <f>R50</f>
        <v>#DIV/0!</v>
      </c>
      <c r="D49" s="2315" t="s">
        <v>2138</v>
      </c>
      <c r="E49" s="1161" t="e">
        <f>R49</f>
        <v>#DIV/0!</v>
      </c>
      <c r="F49" s="2316"/>
      <c r="G49" s="1160" t="e">
        <f>T49</f>
        <v>#DIV/0!</v>
      </c>
      <c r="H49" s="2316"/>
      <c r="I49" s="1161" t="e">
        <f>V49</f>
        <v>#DIV/0!</v>
      </c>
      <c r="J49" s="2316"/>
      <c r="K49" s="2318">
        <f>F49+H49+J49</f>
        <v>0</v>
      </c>
      <c r="L49" s="2722"/>
      <c r="M49" s="2714"/>
      <c r="N49" s="2714"/>
      <c r="O49" s="2714"/>
      <c r="P49" s="3695"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49.02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913"/>
      <c r="M4" s="914"/>
      <c r="N4" s="914"/>
      <c r="O4" s="914"/>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6" t="s">
        <v>1674</v>
      </c>
      <c r="F5" s="3727"/>
      <c r="G5" s="3718" t="s">
        <v>1675</v>
      </c>
      <c r="H5" s="3719"/>
      <c r="I5" s="3718" t="s">
        <v>1676</v>
      </c>
      <c r="J5" s="3719"/>
      <c r="K5" s="559"/>
      <c r="L5" s="913"/>
      <c r="M5" s="914"/>
      <c r="N5" s="914"/>
      <c r="O5" s="914"/>
      <c r="P5" s="3705"/>
      <c r="Q5" s="3706"/>
      <c r="R5" s="3711"/>
      <c r="S5" s="3712"/>
      <c r="T5" s="3711"/>
      <c r="U5" s="3712"/>
      <c r="V5" s="3715"/>
      <c r="W5" s="3715"/>
      <c r="X5" s="1355"/>
      <c r="Y5" s="3711"/>
      <c r="Z5" s="3712"/>
      <c r="AA5" s="3697"/>
      <c r="AB5" s="3697"/>
      <c r="AC5" s="3697"/>
    </row>
    <row r="6" spans="1:29" ht="15.75" thickBot="1">
      <c r="A6" s="360"/>
      <c r="B6" s="361"/>
      <c r="C6" s="3716" t="s">
        <v>1677</v>
      </c>
      <c r="D6" s="3717"/>
      <c r="E6" s="3724" t="s">
        <v>1677</v>
      </c>
      <c r="F6" s="3725"/>
      <c r="G6" s="3716" t="s">
        <v>1677</v>
      </c>
      <c r="H6" s="3717"/>
      <c r="I6" s="3716" t="s">
        <v>1677</v>
      </c>
      <c r="J6" s="3717"/>
      <c r="K6" s="559" t="s">
        <v>1678</v>
      </c>
      <c r="L6" s="913"/>
      <c r="M6" s="914"/>
      <c r="N6" s="914"/>
      <c r="O6" s="9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45052</v>
      </c>
      <c r="D7" s="365">
        <v>100</v>
      </c>
      <c r="E7" s="366"/>
      <c r="F7" s="367">
        <f>SUMIF(52:52,YEAR(E7)&amp;"-"&amp;MONTH(E7),53:53)</f>
        <v>0</v>
      </c>
      <c r="G7" s="366"/>
      <c r="H7" s="365">
        <f>SUMIF(52:52,YEAR(G7)&amp;"-"&amp;MONTH(G7),53:53)</f>
        <v>0</v>
      </c>
      <c r="I7" s="366"/>
      <c r="J7" s="365">
        <f>SUMIF(52:52,YEAR(I7)&amp;"-"&amp;MONTH(I7),53:53)</f>
        <v>0</v>
      </c>
      <c r="K7" s="560"/>
      <c r="L7" s="915"/>
      <c r="M7" s="916"/>
      <c r="N7" s="916"/>
      <c r="O7" s="916"/>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0" t="s">
        <v>1683</v>
      </c>
      <c r="Q8" s="3721"/>
      <c r="R8" s="701" t="s">
        <v>14</v>
      </c>
      <c r="S8" s="702">
        <f t="shared" si="0"/>
        <v>100</v>
      </c>
      <c r="T8" s="701" t="s">
        <v>14</v>
      </c>
      <c r="U8" s="702">
        <f t="shared" si="1"/>
        <v>100</v>
      </c>
      <c r="V8" s="701" t="s">
        <v>14</v>
      </c>
      <c r="W8" s="702">
        <f t="shared" si="2"/>
        <v>100</v>
      </c>
      <c r="X8" s="703"/>
      <c r="Y8" s="3720" t="s">
        <v>1683</v>
      </c>
      <c r="Z8" s="372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4"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4"/>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84"/>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7"/>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7"/>
      <c r="Q18" s="1352"/>
      <c r="R18" s="705"/>
      <c r="S18" s="706"/>
      <c r="T18" s="705"/>
      <c r="U18" s="706"/>
      <c r="V18" s="705"/>
      <c r="W18" s="706"/>
      <c r="X18" s="1355"/>
      <c r="Y18" s="368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7"/>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7"/>
      <c r="Q20" s="1352"/>
      <c r="R20" s="705"/>
      <c r="S20" s="706"/>
      <c r="T20" s="705"/>
      <c r="U20" s="706"/>
      <c r="V20" s="705"/>
      <c r="W20" s="706"/>
      <c r="X20" s="1355"/>
      <c r="Y20" s="368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7"/>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7"/>
      <c r="Q22" s="1352"/>
      <c r="R22" s="705"/>
      <c r="S22" s="706"/>
      <c r="T22" s="705"/>
      <c r="U22" s="706"/>
      <c r="V22" s="705"/>
      <c r="W22" s="706"/>
      <c r="X22" s="1355"/>
      <c r="Y22" s="368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7"/>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7"/>
      <c r="Q24" s="1352"/>
      <c r="R24" s="705"/>
      <c r="S24" s="706"/>
      <c r="T24" s="705"/>
      <c r="U24" s="706"/>
      <c r="V24" s="705"/>
      <c r="W24" s="706"/>
      <c r="X24" s="1355"/>
      <c r="Y24" s="368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7"/>
      <c r="Q25" s="1352">
        <f>B25</f>
        <v>111</v>
      </c>
      <c r="R25" s="705" t="s">
        <v>14</v>
      </c>
      <c r="S25" s="706">
        <f>F25</f>
        <v>100</v>
      </c>
      <c r="T25" s="705" t="s">
        <v>14</v>
      </c>
      <c r="U25" s="706">
        <f>H25</f>
        <v>100</v>
      </c>
      <c r="V25" s="705" t="s">
        <v>14</v>
      </c>
      <c r="W25" s="706">
        <f>J25</f>
        <v>100</v>
      </c>
      <c r="X25" s="1355"/>
      <c r="Y25" s="368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7"/>
      <c r="Q26" s="1352">
        <f t="shared" ref="Q26:Q40" si="11">B26</f>
        <v>111</v>
      </c>
      <c r="R26" s="705" t="s">
        <v>14</v>
      </c>
      <c r="S26" s="706">
        <f>F26</f>
        <v>100</v>
      </c>
      <c r="T26" s="705" t="s">
        <v>14</v>
      </c>
      <c r="U26" s="706">
        <f>H26</f>
        <v>100</v>
      </c>
      <c r="V26" s="705" t="s">
        <v>14</v>
      </c>
      <c r="W26" s="706">
        <f>J26</f>
        <v>100</v>
      </c>
      <c r="X26" s="1355"/>
      <c r="Y26" s="368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7"/>
      <c r="Q27" s="1343">
        <f t="shared" si="11"/>
        <v>111</v>
      </c>
      <c r="R27" s="701" t="s">
        <v>14</v>
      </c>
      <c r="S27" s="702">
        <f>F27</f>
        <v>100</v>
      </c>
      <c r="T27" s="701" t="s">
        <v>14</v>
      </c>
      <c r="U27" s="702">
        <f>H27</f>
        <v>100</v>
      </c>
      <c r="V27" s="701" t="s">
        <v>14</v>
      </c>
      <c r="W27" s="702">
        <f>J27</f>
        <v>100</v>
      </c>
      <c r="X27" s="703"/>
      <c r="Y27" s="368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7"/>
      <c r="Q28" s="1352">
        <f t="shared" si="11"/>
        <v>111</v>
      </c>
      <c r="R28" s="705" t="s">
        <v>14</v>
      </c>
      <c r="S28" s="706">
        <f t="shared" ref="S28:S40" si="12">F28</f>
        <v>100</v>
      </c>
      <c r="T28" s="705" t="s">
        <v>14</v>
      </c>
      <c r="U28" s="706">
        <f t="shared" ref="U28:U40" si="13">H28</f>
        <v>100</v>
      </c>
      <c r="V28" s="705" t="s">
        <v>14</v>
      </c>
      <c r="W28" s="706">
        <f t="shared" ref="W28:W40" si="14">J28</f>
        <v>100</v>
      </c>
      <c r="X28" s="1355"/>
      <c r="Y28" s="3687"/>
      <c r="Z28" s="1356">
        <f t="shared" ref="Z28:Z40" si="15">Q28</f>
        <v>111</v>
      </c>
      <c r="AA28" s="1353">
        <f t="shared" si="3"/>
        <v>1</v>
      </c>
      <c r="AB28" s="1353">
        <f t="shared" si="4"/>
        <v>1</v>
      </c>
      <c r="AC28" s="1353">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69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1"/>
      <c r="Q30" s="707" t="str">
        <f t="shared" si="11"/>
        <v>项目建筑规模</v>
      </c>
      <c r="R30" s="708" t="s">
        <v>14</v>
      </c>
      <c r="S30" s="709" t="e">
        <f t="shared" si="12"/>
        <v>#N/A</v>
      </c>
      <c r="T30" s="708" t="s">
        <v>14</v>
      </c>
      <c r="U30" s="709" t="e">
        <f t="shared" si="13"/>
        <v>#N/A</v>
      </c>
      <c r="V30" s="708" t="s">
        <v>14</v>
      </c>
      <c r="W30" s="709" t="e">
        <f t="shared" si="14"/>
        <v>#N/A</v>
      </c>
      <c r="X30" s="710"/>
      <c r="Y30" s="369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1"/>
      <c r="Q31" s="1352" t="str">
        <f t="shared" si="11"/>
        <v>建筑结构</v>
      </c>
      <c r="R31" s="705" t="s">
        <v>14</v>
      </c>
      <c r="S31" s="706">
        <f t="shared" si="12"/>
        <v>100</v>
      </c>
      <c r="T31" s="705" t="s">
        <v>14</v>
      </c>
      <c r="U31" s="706">
        <f t="shared" si="13"/>
        <v>100</v>
      </c>
      <c r="V31" s="705" t="s">
        <v>14</v>
      </c>
      <c r="W31" s="706">
        <f t="shared" si="14"/>
        <v>100</v>
      </c>
      <c r="X31" s="1355"/>
      <c r="Y31" s="369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1"/>
      <c r="Q32" s="1352" t="str">
        <f t="shared" si="11"/>
        <v>公共部分装修</v>
      </c>
      <c r="R32" s="705" t="s">
        <v>14</v>
      </c>
      <c r="S32" s="706">
        <f t="shared" si="12"/>
        <v>100</v>
      </c>
      <c r="T32" s="705" t="s">
        <v>14</v>
      </c>
      <c r="U32" s="706">
        <f t="shared" si="13"/>
        <v>100</v>
      </c>
      <c r="V32" s="705" t="s">
        <v>14</v>
      </c>
      <c r="W32" s="706">
        <f t="shared" si="14"/>
        <v>100</v>
      </c>
      <c r="X32" s="1355"/>
      <c r="Y32" s="369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1"/>
      <c r="Q33" s="1352" t="str">
        <f t="shared" si="11"/>
        <v>成新度</v>
      </c>
      <c r="R33" s="705" t="s">
        <v>14</v>
      </c>
      <c r="S33" s="706" t="e">
        <f t="shared" si="12"/>
        <v>#N/A</v>
      </c>
      <c r="T33" s="705" t="s">
        <v>14</v>
      </c>
      <c r="U33" s="706" t="e">
        <f t="shared" si="13"/>
        <v>#N/A</v>
      </c>
      <c r="V33" s="705" t="s">
        <v>14</v>
      </c>
      <c r="W33" s="706" t="e">
        <f t="shared" si="14"/>
        <v>#N/A</v>
      </c>
      <c r="X33" s="1355"/>
      <c r="Y33" s="369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1"/>
      <c r="Q34" s="1343" t="str">
        <f t="shared" si="11"/>
        <v>物业管理</v>
      </c>
      <c r="R34" s="701" t="s">
        <v>14</v>
      </c>
      <c r="S34" s="702">
        <f t="shared" si="12"/>
        <v>100</v>
      </c>
      <c r="T34" s="701" t="s">
        <v>14</v>
      </c>
      <c r="U34" s="702">
        <f t="shared" si="13"/>
        <v>100</v>
      </c>
      <c r="V34" s="701" t="s">
        <v>14</v>
      </c>
      <c r="W34" s="702">
        <f t="shared" si="14"/>
        <v>100</v>
      </c>
      <c r="X34" s="703"/>
      <c r="Y34" s="369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1" t="s">
        <v>1696</v>
      </c>
      <c r="Q35" s="1352" t="str">
        <f t="shared" si="11"/>
        <v>市政基础设施</v>
      </c>
      <c r="R35" s="705" t="s">
        <v>14</v>
      </c>
      <c r="S35" s="706">
        <f t="shared" si="12"/>
        <v>100</v>
      </c>
      <c r="T35" s="705" t="s">
        <v>14</v>
      </c>
      <c r="U35" s="706">
        <f t="shared" si="13"/>
        <v>100</v>
      </c>
      <c r="V35" s="705" t="s">
        <v>14</v>
      </c>
      <c r="W35" s="706">
        <f t="shared" si="14"/>
        <v>100</v>
      </c>
      <c r="X35" s="1355"/>
      <c r="Y35" s="369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1"/>
      <c r="Q36" s="1352" t="str">
        <f t="shared" si="11"/>
        <v>内部装修</v>
      </c>
      <c r="R36" s="705" t="s">
        <v>14</v>
      </c>
      <c r="S36" s="706">
        <f t="shared" si="12"/>
        <v>100</v>
      </c>
      <c r="T36" s="705" t="s">
        <v>14</v>
      </c>
      <c r="U36" s="706">
        <f t="shared" si="13"/>
        <v>100</v>
      </c>
      <c r="V36" s="705" t="s">
        <v>14</v>
      </c>
      <c r="W36" s="706">
        <f t="shared" si="14"/>
        <v>100</v>
      </c>
      <c r="X36" s="1355"/>
      <c r="Y36" s="369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1"/>
      <c r="Q37" s="1352" t="str">
        <f t="shared" si="11"/>
        <v>内部装修状况</v>
      </c>
      <c r="R37" s="705" t="s">
        <v>14</v>
      </c>
      <c r="S37" s="706">
        <f t="shared" si="12"/>
        <v>100</v>
      </c>
      <c r="T37" s="705" t="s">
        <v>14</v>
      </c>
      <c r="U37" s="706">
        <f t="shared" si="13"/>
        <v>100</v>
      </c>
      <c r="V37" s="705" t="s">
        <v>14</v>
      </c>
      <c r="W37" s="706">
        <f t="shared" si="14"/>
        <v>100</v>
      </c>
      <c r="X37" s="1355"/>
      <c r="Y37" s="369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1"/>
      <c r="Q38" s="707">
        <f t="shared" si="11"/>
        <v>111</v>
      </c>
      <c r="R38" s="708" t="s">
        <v>14</v>
      </c>
      <c r="S38" s="709">
        <f t="shared" si="12"/>
        <v>100</v>
      </c>
      <c r="T38" s="708" t="s">
        <v>14</v>
      </c>
      <c r="U38" s="709">
        <f t="shared" si="13"/>
        <v>100</v>
      </c>
      <c r="V38" s="708" t="s">
        <v>14</v>
      </c>
      <c r="W38" s="709">
        <f t="shared" si="14"/>
        <v>100</v>
      </c>
      <c r="X38" s="710"/>
      <c r="Y38" s="369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1"/>
      <c r="Q39" s="1352">
        <f t="shared" si="11"/>
        <v>111</v>
      </c>
      <c r="R39" s="705" t="s">
        <v>14</v>
      </c>
      <c r="S39" s="706">
        <f t="shared" si="12"/>
        <v>100</v>
      </c>
      <c r="T39" s="705" t="s">
        <v>14</v>
      </c>
      <c r="U39" s="706">
        <f t="shared" si="13"/>
        <v>100</v>
      </c>
      <c r="V39" s="705" t="s">
        <v>14</v>
      </c>
      <c r="W39" s="706">
        <f t="shared" si="14"/>
        <v>100</v>
      </c>
      <c r="X39" s="1355"/>
      <c r="Y39" s="369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2"/>
      <c r="Q40" s="1352">
        <f t="shared" si="11"/>
        <v>111</v>
      </c>
      <c r="R40" s="705" t="s">
        <v>14</v>
      </c>
      <c r="S40" s="706">
        <f t="shared" si="12"/>
        <v>100</v>
      </c>
      <c r="T40" s="705" t="s">
        <v>14</v>
      </c>
      <c r="U40" s="706">
        <f t="shared" si="13"/>
        <v>100</v>
      </c>
      <c r="V40" s="705" t="s">
        <v>14</v>
      </c>
      <c r="W40" s="706">
        <f t="shared" si="14"/>
        <v>100</v>
      </c>
      <c r="X40" s="1355"/>
      <c r="Y40" s="369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4" t="str">
        <f>A41</f>
        <v>成交单价（元/平方米）</v>
      </c>
      <c r="Q41" s="3684"/>
      <c r="R41" s="3685">
        <f>E41</f>
        <v>0</v>
      </c>
      <c r="S41" s="3685"/>
      <c r="T41" s="3685">
        <f>G41</f>
        <v>0</v>
      </c>
      <c r="U41" s="3685"/>
      <c r="V41" s="3685">
        <f>I41</f>
        <v>0</v>
      </c>
      <c r="W41" s="3685"/>
      <c r="X41" s="690"/>
      <c r="Y41" s="712"/>
      <c r="Z41" s="690"/>
      <c r="AA41" s="690"/>
      <c r="AB41" s="690"/>
      <c r="AC41" s="690"/>
    </row>
    <row r="42" spans="1:29" ht="15.7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3"/>
      <c r="M4" s="2714"/>
      <c r="N4" s="2714"/>
      <c r="O4" s="2714"/>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6" t="s">
        <v>1674</v>
      </c>
      <c r="F5" s="3727"/>
      <c r="G5" s="3718" t="s">
        <v>1675</v>
      </c>
      <c r="H5" s="3719"/>
      <c r="I5" s="3718" t="s">
        <v>1676</v>
      </c>
      <c r="J5" s="3719"/>
      <c r="K5" s="559"/>
      <c r="L5" s="2713"/>
      <c r="M5" s="2714"/>
      <c r="N5" s="2714"/>
      <c r="O5" s="2714"/>
      <c r="P5" s="3705"/>
      <c r="Q5" s="3706"/>
      <c r="R5" s="3711"/>
      <c r="S5" s="3712"/>
      <c r="T5" s="3711"/>
      <c r="U5" s="3712"/>
      <c r="V5" s="3715"/>
      <c r="W5" s="3715"/>
      <c r="X5" s="1355"/>
      <c r="Y5" s="3711"/>
      <c r="Z5" s="3712"/>
      <c r="AA5" s="3697"/>
      <c r="AB5" s="3697"/>
      <c r="AC5" s="3697"/>
    </row>
    <row r="6" spans="1:29" ht="15.75" thickBot="1">
      <c r="A6" s="360"/>
      <c r="B6" s="361"/>
      <c r="C6" s="3716" t="s">
        <v>1677</v>
      </c>
      <c r="D6" s="3717"/>
      <c r="E6" s="3724" t="s">
        <v>1677</v>
      </c>
      <c r="F6" s="3725"/>
      <c r="G6" s="3716" t="s">
        <v>1677</v>
      </c>
      <c r="H6" s="3717"/>
      <c r="I6" s="3716" t="s">
        <v>1677</v>
      </c>
      <c r="J6" s="3717"/>
      <c r="K6" s="559" t="s">
        <v>1678</v>
      </c>
      <c r="L6" s="2713"/>
      <c r="M6" s="2714"/>
      <c r="N6" s="2714"/>
      <c r="O6" s="27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45052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20" t="s">
        <v>1683</v>
      </c>
      <c r="Q8" s="3721"/>
      <c r="R8" s="701" t="s">
        <v>14</v>
      </c>
      <c r="S8" s="702">
        <f t="shared" si="0"/>
        <v>100</v>
      </c>
      <c r="T8" s="701" t="s">
        <v>14</v>
      </c>
      <c r="U8" s="702">
        <f t="shared" si="1"/>
        <v>100</v>
      </c>
      <c r="V8" s="701" t="s">
        <v>14</v>
      </c>
      <c r="W8" s="702">
        <f t="shared" si="2"/>
        <v>100</v>
      </c>
      <c r="X8" s="703"/>
      <c r="Y8" s="3720" t="s">
        <v>1683</v>
      </c>
      <c r="Z8" s="372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84"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84"/>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87"/>
      <c r="Q15" s="1352"/>
      <c r="R15" s="705"/>
      <c r="S15" s="706"/>
      <c r="T15" s="705"/>
      <c r="U15" s="706"/>
      <c r="V15" s="705"/>
      <c r="W15" s="706"/>
      <c r="X15" s="1355"/>
      <c r="Y15" s="368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87"/>
      <c r="Q17" s="1352"/>
      <c r="R17" s="705"/>
      <c r="S17" s="706"/>
      <c r="T17" s="705"/>
      <c r="U17" s="706"/>
      <c r="V17" s="705"/>
      <c r="W17" s="706"/>
      <c r="X17" s="1355"/>
      <c r="Y17" s="368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87"/>
      <c r="Q19" s="1352"/>
      <c r="R19" s="705"/>
      <c r="S19" s="706"/>
      <c r="T19" s="705"/>
      <c r="U19" s="706"/>
      <c r="V19" s="705"/>
      <c r="W19" s="706"/>
      <c r="X19" s="1355"/>
      <c r="Y19" s="368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87"/>
      <c r="Q21" s="1352"/>
      <c r="R21" s="705"/>
      <c r="S21" s="706"/>
      <c r="T21" s="705"/>
      <c r="U21" s="706"/>
      <c r="V21" s="705"/>
      <c r="W21" s="706"/>
      <c r="X21" s="1355"/>
      <c r="Y21" s="368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87"/>
      <c r="Q24" s="1352">
        <f t="shared" ref="Q24:Q36"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91"/>
      <c r="Q27" s="707" t="str">
        <f t="shared" si="11"/>
        <v>项目停车位配比</v>
      </c>
      <c r="R27" s="708" t="s">
        <v>14</v>
      </c>
      <c r="S27" s="709">
        <f t="shared" si="12"/>
        <v>100</v>
      </c>
      <c r="T27" s="708" t="s">
        <v>14</v>
      </c>
      <c r="U27" s="709">
        <f t="shared" si="13"/>
        <v>100</v>
      </c>
      <c r="V27" s="708" t="s">
        <v>14</v>
      </c>
      <c r="W27" s="709">
        <f t="shared" si="14"/>
        <v>100</v>
      </c>
      <c r="X27" s="710"/>
      <c r="Y27" s="369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1"/>
      <c r="Q28" s="1352" t="str">
        <f t="shared" si="11"/>
        <v>公共部分装修</v>
      </c>
      <c r="R28" s="705" t="s">
        <v>14</v>
      </c>
      <c r="S28" s="706">
        <f t="shared" si="12"/>
        <v>100</v>
      </c>
      <c r="T28" s="705" t="s">
        <v>14</v>
      </c>
      <c r="U28" s="706">
        <f t="shared" si="13"/>
        <v>100</v>
      </c>
      <c r="V28" s="705" t="s">
        <v>14</v>
      </c>
      <c r="W28" s="706">
        <f t="shared" si="14"/>
        <v>100</v>
      </c>
      <c r="X28" s="1355"/>
      <c r="Y28" s="369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1"/>
      <c r="Q29" s="1352" t="str">
        <f t="shared" si="11"/>
        <v>成新率</v>
      </c>
      <c r="R29" s="705" t="s">
        <v>14</v>
      </c>
      <c r="S29" s="706" t="e">
        <f t="shared" si="12"/>
        <v>#N/A</v>
      </c>
      <c r="T29" s="705" t="s">
        <v>14</v>
      </c>
      <c r="U29" s="706" t="e">
        <f t="shared" si="13"/>
        <v>#N/A</v>
      </c>
      <c r="V29" s="705" t="s">
        <v>14</v>
      </c>
      <c r="W29" s="706" t="e">
        <f t="shared" si="14"/>
        <v>#N/A</v>
      </c>
      <c r="X29" s="1355"/>
      <c r="Y29" s="369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91"/>
      <c r="Q30" s="1352" t="str">
        <f t="shared" si="11"/>
        <v>物业等级</v>
      </c>
      <c r="R30" s="705" t="s">
        <v>14</v>
      </c>
      <c r="S30" s="706">
        <f t="shared" si="12"/>
        <v>100</v>
      </c>
      <c r="T30" s="705" t="s">
        <v>14</v>
      </c>
      <c r="U30" s="706">
        <f t="shared" si="13"/>
        <v>100</v>
      </c>
      <c r="V30" s="705" t="s">
        <v>14</v>
      </c>
      <c r="W30" s="706">
        <f t="shared" si="14"/>
        <v>100</v>
      </c>
      <c r="X30" s="1355"/>
      <c r="Y30" s="369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1"/>
      <c r="Q31" s="1343" t="str">
        <f t="shared" si="11"/>
        <v>停车位面积</v>
      </c>
      <c r="R31" s="701" t="s">
        <v>14</v>
      </c>
      <c r="S31" s="702" t="e">
        <f t="shared" si="12"/>
        <v>#N/A</v>
      </c>
      <c r="T31" s="701" t="s">
        <v>14</v>
      </c>
      <c r="U31" s="702" t="e">
        <f t="shared" si="13"/>
        <v>#N/A</v>
      </c>
      <c r="V31" s="701" t="s">
        <v>14</v>
      </c>
      <c r="W31" s="702" t="e">
        <f t="shared" si="14"/>
        <v>#N/A</v>
      </c>
      <c r="X31" s="703"/>
      <c r="Y31" s="369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1" t="s">
        <v>1696</v>
      </c>
      <c r="Q32" s="1352" t="str">
        <f t="shared" si="11"/>
        <v>车位类型</v>
      </c>
      <c r="R32" s="705" t="s">
        <v>14</v>
      </c>
      <c r="S32" s="706">
        <f t="shared" si="12"/>
        <v>100</v>
      </c>
      <c r="T32" s="705" t="s">
        <v>14</v>
      </c>
      <c r="U32" s="706">
        <f t="shared" si="13"/>
        <v>100</v>
      </c>
      <c r="V32" s="705" t="s">
        <v>14</v>
      </c>
      <c r="W32" s="706">
        <f t="shared" si="14"/>
        <v>100</v>
      </c>
      <c r="X32" s="1355"/>
      <c r="Y32" s="369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1"/>
      <c r="Q33" s="1352" t="str">
        <f t="shared" si="11"/>
        <v>是否直接入户</v>
      </c>
      <c r="R33" s="705" t="s">
        <v>14</v>
      </c>
      <c r="S33" s="706">
        <f t="shared" si="12"/>
        <v>100</v>
      </c>
      <c r="T33" s="705" t="s">
        <v>14</v>
      </c>
      <c r="U33" s="706">
        <f t="shared" si="13"/>
        <v>100</v>
      </c>
      <c r="V33" s="705" t="s">
        <v>14</v>
      </c>
      <c r="W33" s="706">
        <f t="shared" si="14"/>
        <v>100</v>
      </c>
      <c r="X33" s="1355"/>
      <c r="Y33" s="369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1"/>
      <c r="Q35" s="707">
        <f t="shared" si="11"/>
        <v>111</v>
      </c>
      <c r="R35" s="708" t="s">
        <v>14</v>
      </c>
      <c r="S35" s="709">
        <f t="shared" si="12"/>
        <v>100</v>
      </c>
      <c r="T35" s="708" t="s">
        <v>14</v>
      </c>
      <c r="U35" s="709">
        <f t="shared" si="13"/>
        <v>100</v>
      </c>
      <c r="V35" s="708" t="s">
        <v>14</v>
      </c>
      <c r="W35" s="709">
        <f t="shared" si="14"/>
        <v>100</v>
      </c>
      <c r="X35" s="710"/>
      <c r="Y35" s="369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1"/>
      <c r="Q36" s="1352">
        <f t="shared" si="11"/>
        <v>111</v>
      </c>
      <c r="R36" s="705" t="s">
        <v>14</v>
      </c>
      <c r="S36" s="706">
        <f t="shared" si="12"/>
        <v>100</v>
      </c>
      <c r="T36" s="705" t="s">
        <v>14</v>
      </c>
      <c r="U36" s="706">
        <f t="shared" si="13"/>
        <v>100</v>
      </c>
      <c r="V36" s="705" t="s">
        <v>14</v>
      </c>
      <c r="W36" s="706">
        <f t="shared" si="14"/>
        <v>100</v>
      </c>
      <c r="X36" s="1355"/>
      <c r="Y36" s="3691"/>
      <c r="Z36" s="1356">
        <f t="shared" si="15"/>
        <v>111</v>
      </c>
      <c r="AA36" s="1353">
        <f t="shared" si="3"/>
        <v>1</v>
      </c>
      <c r="AB36" s="1353">
        <f t="shared" si="4"/>
        <v>1</v>
      </c>
      <c r="AC36" s="1353">
        <f t="shared" si="5"/>
        <v>1</v>
      </c>
    </row>
    <row r="37" spans="1:29" ht="15">
      <c r="A37" s="430" t="s">
        <v>1844</v>
      </c>
      <c r="B37" s="1971" t="s">
        <v>3358</v>
      </c>
      <c r="C37" s="1154" t="s">
        <v>0</v>
      </c>
      <c r="D37" s="1155"/>
      <c r="E37" s="1156"/>
      <c r="F37" s="1157"/>
      <c r="G37" s="1158"/>
      <c r="H37" s="1159"/>
      <c r="I37" s="1156"/>
      <c r="J37" s="1159"/>
      <c r="K37" s="568"/>
      <c r="L37" s="2722"/>
      <c r="M37" s="2723"/>
      <c r="N37" s="2714"/>
      <c r="O37" s="2723"/>
      <c r="P37" s="3684" t="str">
        <f>A37</f>
        <v>成交单价</v>
      </c>
      <c r="Q37" s="3684"/>
      <c r="R37" s="3685">
        <f>E37</f>
        <v>0</v>
      </c>
      <c r="S37" s="3685"/>
      <c r="T37" s="3685">
        <f>G37</f>
        <v>0</v>
      </c>
      <c r="U37" s="3685"/>
      <c r="V37" s="3685">
        <f>I37</f>
        <v>0</v>
      </c>
      <c r="W37" s="3685"/>
      <c r="X37" s="690"/>
      <c r="Y37" s="712"/>
      <c r="Z37" s="690"/>
      <c r="AA37" s="690"/>
      <c r="AB37" s="690"/>
      <c r="AC37" s="690"/>
    </row>
    <row r="38" spans="1:29" ht="15.7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22"/>
      <c r="M38" s="2723"/>
      <c r="N38" s="2723"/>
      <c r="O38" s="2723"/>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81" t="str">
        <f>A39</f>
        <v>估价对象XX用房的比较价值（楼面单价，元/平方米）</v>
      </c>
      <c r="Q39" s="3682"/>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估价对象为北京市房地产，为所有。根据《国有土地使用证》[]，估价对象（分摊）出让国有建设用地使用权面积为0平方米，建筑面积为49.02平方米。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估价对象为北京市房地产,属开发建设的，该项目尚在开发建设中。根据《国有土地使用证》[]，估价对象（分摊）出让国有建设用地使用权面积为0平方米，规划建筑面积为49.02平方米。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2023年5月6日（评估专业人员实地查勘之日）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本次估价的“房地产价值”是指在正常市场情况下，在价值时点2023年5月6日，估价对象规划用途为，土地取得方式为划拨，假定未设立法定优先受偿款下的房地产市场价值。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3"/>
      <c r="M4" s="2714"/>
      <c r="N4" s="2714"/>
      <c r="O4" s="2714"/>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6" t="s">
        <v>1674</v>
      </c>
      <c r="F5" s="3727"/>
      <c r="G5" s="3718" t="s">
        <v>1675</v>
      </c>
      <c r="H5" s="3719"/>
      <c r="I5" s="3718" t="s">
        <v>1676</v>
      </c>
      <c r="J5" s="3719"/>
      <c r="K5" s="559"/>
      <c r="L5" s="2713"/>
      <c r="M5" s="2714"/>
      <c r="N5" s="2714"/>
      <c r="O5" s="2714"/>
      <c r="P5" s="3705"/>
      <c r="Q5" s="3706"/>
      <c r="R5" s="3711"/>
      <c r="S5" s="3712"/>
      <c r="T5" s="3711"/>
      <c r="U5" s="3712"/>
      <c r="V5" s="3715"/>
      <c r="W5" s="3715"/>
      <c r="X5" s="1355"/>
      <c r="Y5" s="3711"/>
      <c r="Z5" s="3712"/>
      <c r="AA5" s="3697"/>
      <c r="AB5" s="3697"/>
      <c r="AC5" s="3697"/>
    </row>
    <row r="6" spans="1:29" ht="15.75" thickBot="1">
      <c r="A6" s="360"/>
      <c r="B6" s="361"/>
      <c r="C6" s="3716" t="s">
        <v>1677</v>
      </c>
      <c r="D6" s="3717"/>
      <c r="E6" s="3724" t="s">
        <v>1677</v>
      </c>
      <c r="F6" s="3725"/>
      <c r="G6" s="3716" t="s">
        <v>1677</v>
      </c>
      <c r="H6" s="3717"/>
      <c r="I6" s="3716" t="s">
        <v>1677</v>
      </c>
      <c r="J6" s="3717"/>
      <c r="K6" s="559" t="s">
        <v>1678</v>
      </c>
      <c r="L6" s="2713"/>
      <c r="M6" s="2714"/>
      <c r="N6" s="2714"/>
      <c r="O6" s="27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45052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20" t="s">
        <v>1683</v>
      </c>
      <c r="Q8" s="3721"/>
      <c r="R8" s="701" t="s">
        <v>14</v>
      </c>
      <c r="S8" s="702">
        <f t="shared" si="0"/>
        <v>100</v>
      </c>
      <c r="T8" s="701" t="s">
        <v>14</v>
      </c>
      <c r="U8" s="702">
        <f t="shared" si="1"/>
        <v>100</v>
      </c>
      <c r="V8" s="701" t="s">
        <v>14</v>
      </c>
      <c r="W8" s="702">
        <f t="shared" si="2"/>
        <v>100</v>
      </c>
      <c r="X8" s="703"/>
      <c r="Y8" s="3720" t="s">
        <v>1683</v>
      </c>
      <c r="Z8" s="372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84"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84"/>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87"/>
      <c r="Q15" s="1352"/>
      <c r="R15" s="705"/>
      <c r="S15" s="706"/>
      <c r="T15" s="705"/>
      <c r="U15" s="706"/>
      <c r="V15" s="705"/>
      <c r="W15" s="706"/>
      <c r="X15" s="1355"/>
      <c r="Y15" s="368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87"/>
      <c r="Q17" s="1352"/>
      <c r="R17" s="705"/>
      <c r="S17" s="706"/>
      <c r="T17" s="705"/>
      <c r="U17" s="706"/>
      <c r="V17" s="705"/>
      <c r="W17" s="706"/>
      <c r="X17" s="1355"/>
      <c r="Y17" s="368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87"/>
      <c r="Q19" s="1352"/>
      <c r="R19" s="705"/>
      <c r="S19" s="706"/>
      <c r="T19" s="705"/>
      <c r="U19" s="706"/>
      <c r="V19" s="705"/>
      <c r="W19" s="706"/>
      <c r="X19" s="1355"/>
      <c r="Y19" s="368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87"/>
      <c r="Q21" s="1352"/>
      <c r="R21" s="705"/>
      <c r="S21" s="706"/>
      <c r="T21" s="705"/>
      <c r="U21" s="706"/>
      <c r="V21" s="705"/>
      <c r="W21" s="706"/>
      <c r="X21" s="1355"/>
      <c r="Y21" s="368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87"/>
      <c r="Q24" s="1352">
        <f t="shared" ref="Q24:Q34"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1"/>
      <c r="Q27" s="707" t="str">
        <f t="shared" si="11"/>
        <v>成新率</v>
      </c>
      <c r="R27" s="708" t="s">
        <v>14</v>
      </c>
      <c r="S27" s="709" t="e">
        <f t="shared" si="12"/>
        <v>#N/A</v>
      </c>
      <c r="T27" s="708" t="s">
        <v>14</v>
      </c>
      <c r="U27" s="709" t="e">
        <f t="shared" si="13"/>
        <v>#N/A</v>
      </c>
      <c r="V27" s="708" t="s">
        <v>14</v>
      </c>
      <c r="W27" s="709" t="e">
        <f t="shared" si="14"/>
        <v>#N/A</v>
      </c>
      <c r="X27" s="710"/>
      <c r="Y27" s="369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1"/>
      <c r="Q28" s="1352" t="str">
        <f t="shared" si="11"/>
        <v>物业等级</v>
      </c>
      <c r="R28" s="705" t="s">
        <v>14</v>
      </c>
      <c r="S28" s="706">
        <f t="shared" si="12"/>
        <v>100</v>
      </c>
      <c r="T28" s="705" t="s">
        <v>14</v>
      </c>
      <c r="U28" s="706">
        <f t="shared" si="13"/>
        <v>100</v>
      </c>
      <c r="V28" s="705" t="s">
        <v>14</v>
      </c>
      <c r="W28" s="706">
        <f t="shared" si="14"/>
        <v>100</v>
      </c>
      <c r="X28" s="1355"/>
      <c r="Y28" s="369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91"/>
      <c r="Q29" s="1352" t="str">
        <f t="shared" si="11"/>
        <v>有无电梯</v>
      </c>
      <c r="R29" s="705" t="s">
        <v>14</v>
      </c>
      <c r="S29" s="706">
        <f t="shared" si="12"/>
        <v>100</v>
      </c>
      <c r="T29" s="705" t="s">
        <v>14</v>
      </c>
      <c r="U29" s="706">
        <f t="shared" si="13"/>
        <v>100</v>
      </c>
      <c r="V29" s="705" t="s">
        <v>14</v>
      </c>
      <c r="W29" s="706">
        <f t="shared" si="14"/>
        <v>100</v>
      </c>
      <c r="X29" s="1355"/>
      <c r="Y29" s="369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1"/>
      <c r="Q30" s="1352" t="str">
        <f t="shared" si="11"/>
        <v>建筑面积</v>
      </c>
      <c r="R30" s="705" t="s">
        <v>14</v>
      </c>
      <c r="S30" s="706" t="e">
        <f t="shared" si="12"/>
        <v>#N/A</v>
      </c>
      <c r="T30" s="705" t="s">
        <v>14</v>
      </c>
      <c r="U30" s="706" t="e">
        <f t="shared" si="13"/>
        <v>#N/A</v>
      </c>
      <c r="V30" s="705" t="s">
        <v>14</v>
      </c>
      <c r="W30" s="706" t="e">
        <f t="shared" si="14"/>
        <v>#N/A</v>
      </c>
      <c r="X30" s="1355"/>
      <c r="Y30" s="369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91"/>
      <c r="Q31" s="1343" t="str">
        <f t="shared" si="11"/>
        <v>是否封闭</v>
      </c>
      <c r="R31" s="701" t="s">
        <v>14</v>
      </c>
      <c r="S31" s="702">
        <f t="shared" si="12"/>
        <v>100</v>
      </c>
      <c r="T31" s="701" t="s">
        <v>14</v>
      </c>
      <c r="U31" s="702">
        <f t="shared" si="13"/>
        <v>100</v>
      </c>
      <c r="V31" s="701" t="s">
        <v>14</v>
      </c>
      <c r="W31" s="702">
        <f t="shared" si="14"/>
        <v>100</v>
      </c>
      <c r="X31" s="703"/>
      <c r="Y31" s="369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1" t="s">
        <v>1696</v>
      </c>
      <c r="Q32" s="1352">
        <f t="shared" si="11"/>
        <v>111</v>
      </c>
      <c r="R32" s="705" t="s">
        <v>14</v>
      </c>
      <c r="S32" s="706">
        <f t="shared" si="12"/>
        <v>100</v>
      </c>
      <c r="T32" s="705" t="s">
        <v>14</v>
      </c>
      <c r="U32" s="706">
        <f t="shared" si="13"/>
        <v>100</v>
      </c>
      <c r="V32" s="705" t="s">
        <v>14</v>
      </c>
      <c r="W32" s="706">
        <f t="shared" si="14"/>
        <v>100</v>
      </c>
      <c r="X32" s="1355"/>
      <c r="Y32" s="369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1"/>
      <c r="Q33" s="1352">
        <f t="shared" si="11"/>
        <v>111</v>
      </c>
      <c r="R33" s="705" t="s">
        <v>14</v>
      </c>
      <c r="S33" s="706">
        <f t="shared" si="12"/>
        <v>100</v>
      </c>
      <c r="T33" s="705" t="s">
        <v>14</v>
      </c>
      <c r="U33" s="706">
        <f t="shared" si="13"/>
        <v>100</v>
      </c>
      <c r="V33" s="705" t="s">
        <v>14</v>
      </c>
      <c r="W33" s="706">
        <f t="shared" si="14"/>
        <v>100</v>
      </c>
      <c r="X33" s="1355"/>
      <c r="Y33" s="3691"/>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84" t="str">
        <f>A35</f>
        <v>成交单价（元/平方米）</v>
      </c>
      <c r="Q35" s="3684"/>
      <c r="R35" s="3685">
        <f>E35</f>
        <v>0</v>
      </c>
      <c r="S35" s="3685"/>
      <c r="T35" s="3685">
        <f>G35</f>
        <v>0</v>
      </c>
      <c r="U35" s="3685"/>
      <c r="V35" s="3685">
        <f>I35</f>
        <v>0</v>
      </c>
      <c r="W35" s="3685"/>
      <c r="X35" s="690"/>
      <c r="Y35" s="712"/>
      <c r="Z35" s="690"/>
      <c r="AA35" s="690"/>
      <c r="AB35" s="690"/>
      <c r="AC35" s="690"/>
    </row>
    <row r="36" spans="1:30" ht="15.75" thickBot="1">
      <c r="A36" s="437" t="s">
        <v>1793</v>
      </c>
      <c r="B36" s="438"/>
      <c r="C36" s="1160" t="e">
        <f>R37</f>
        <v>#DIV/0!</v>
      </c>
      <c r="D36" s="2315" t="s">
        <v>2138</v>
      </c>
      <c r="E36" s="1161" t="e">
        <f>R36</f>
        <v>#DIV/0!</v>
      </c>
      <c r="F36" s="2316"/>
      <c r="G36" s="1160" t="e">
        <f>T36</f>
        <v>#DIV/0!</v>
      </c>
      <c r="H36" s="2316"/>
      <c r="I36" s="1161" t="e">
        <f>V36</f>
        <v>#DIV/0!</v>
      </c>
      <c r="J36" s="2316"/>
      <c r="K36" s="2318">
        <f>F36+H36+J36</f>
        <v>0</v>
      </c>
      <c r="L36" s="2722"/>
      <c r="M36" s="2723"/>
      <c r="N36" s="2714"/>
      <c r="O36" s="2723"/>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81" t="str">
        <f>A37</f>
        <v>估价对象XX用房的比较价值（楼面单价，元/平方米）</v>
      </c>
      <c r="Q37" s="3682"/>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99" t="s">
        <v>1770</v>
      </c>
      <c r="D4" s="3700"/>
      <c r="E4" s="3701" t="s">
        <v>1771</v>
      </c>
      <c r="F4" s="3702"/>
      <c r="G4" s="3699" t="s">
        <v>1772</v>
      </c>
      <c r="H4" s="3700"/>
      <c r="I4" s="3699" t="s">
        <v>1773</v>
      </c>
      <c r="J4" s="3700"/>
      <c r="K4" s="559" t="s">
        <v>1774</v>
      </c>
      <c r="L4" s="2713"/>
      <c r="M4" s="2714"/>
      <c r="N4" s="2714"/>
      <c r="O4" s="2714"/>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30" ht="15">
      <c r="A5" s="358"/>
      <c r="B5" s="359"/>
      <c r="C5" s="3718" t="s">
        <v>1673</v>
      </c>
      <c r="D5" s="3719"/>
      <c r="E5" s="3726" t="s">
        <v>1674</v>
      </c>
      <c r="F5" s="3727"/>
      <c r="G5" s="3718" t="s">
        <v>1675</v>
      </c>
      <c r="H5" s="3719"/>
      <c r="I5" s="3718" t="s">
        <v>1676</v>
      </c>
      <c r="J5" s="3719"/>
      <c r="K5" s="559"/>
      <c r="L5" s="2713"/>
      <c r="M5" s="2714"/>
      <c r="N5" s="2714"/>
      <c r="O5" s="2714"/>
      <c r="P5" s="3705"/>
      <c r="Q5" s="3706"/>
      <c r="R5" s="3711"/>
      <c r="S5" s="3712"/>
      <c r="T5" s="3711"/>
      <c r="U5" s="3712"/>
      <c r="V5" s="3715"/>
      <c r="W5" s="3715"/>
      <c r="X5" s="1355"/>
      <c r="Y5" s="3711"/>
      <c r="Z5" s="3712"/>
      <c r="AA5" s="3697"/>
      <c r="AB5" s="3697"/>
      <c r="AC5" s="3697"/>
    </row>
    <row r="6" spans="1:30" ht="15.75" thickBot="1">
      <c r="A6" s="360"/>
      <c r="B6" s="361"/>
      <c r="C6" s="3716" t="s">
        <v>1677</v>
      </c>
      <c r="D6" s="3717"/>
      <c r="E6" s="3724" t="s">
        <v>1677</v>
      </c>
      <c r="F6" s="3725"/>
      <c r="G6" s="3716" t="s">
        <v>1677</v>
      </c>
      <c r="H6" s="3717"/>
      <c r="I6" s="3716" t="s">
        <v>1677</v>
      </c>
      <c r="J6" s="3717"/>
      <c r="K6" s="559" t="s">
        <v>1678</v>
      </c>
      <c r="L6" s="2713"/>
      <c r="M6" s="2714"/>
      <c r="N6" s="2714"/>
      <c r="O6" s="2714"/>
      <c r="P6" s="3707"/>
      <c r="Q6" s="3708"/>
      <c r="R6" s="3711"/>
      <c r="S6" s="3712"/>
      <c r="T6" s="3713"/>
      <c r="U6" s="3714"/>
      <c r="V6" s="3715"/>
      <c r="W6" s="3715"/>
      <c r="X6" s="1355"/>
      <c r="Y6" s="3713"/>
      <c r="Z6" s="3714"/>
      <c r="AA6" s="3698"/>
      <c r="AB6" s="3698"/>
      <c r="AC6" s="3698"/>
    </row>
    <row r="7" spans="1:30" s="108" customFormat="1" ht="15.75" thickBot="1">
      <c r="A7" s="362" t="s">
        <v>1679</v>
      </c>
      <c r="B7" s="363"/>
      <c r="C7" s="364">
        <f>'数据-取费表'!B2</f>
        <v>45052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20" t="s">
        <v>1683</v>
      </c>
      <c r="Q8" s="3721"/>
      <c r="R8" s="701" t="s">
        <v>14</v>
      </c>
      <c r="S8" s="702">
        <f t="shared" si="0"/>
        <v>0</v>
      </c>
      <c r="T8" s="701" t="s">
        <v>14</v>
      </c>
      <c r="U8" s="702">
        <f t="shared" si="1"/>
        <v>0</v>
      </c>
      <c r="V8" s="701" t="s">
        <v>14</v>
      </c>
      <c r="W8" s="702">
        <f t="shared" si="2"/>
        <v>0</v>
      </c>
      <c r="X8" s="703"/>
      <c r="Y8" s="3720" t="s">
        <v>1683</v>
      </c>
      <c r="Z8" s="3721"/>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84"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7"/>
      <c r="M10" s="2718"/>
      <c r="N10" s="2718"/>
      <c r="O10" s="2771"/>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84"/>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84"/>
      <c r="Q12" s="1343" t="str">
        <f t="shared" si="6"/>
        <v>配建</v>
      </c>
      <c r="R12" s="701" t="s">
        <v>14</v>
      </c>
      <c r="S12" s="702">
        <f t="shared" si="0"/>
        <v>100</v>
      </c>
      <c r="T12" s="701" t="s">
        <v>14</v>
      </c>
      <c r="U12" s="702">
        <f t="shared" si="1"/>
        <v>100</v>
      </c>
      <c r="V12" s="701" t="s">
        <v>14</v>
      </c>
      <c r="W12" s="702">
        <f t="shared" si="2"/>
        <v>100</v>
      </c>
      <c r="X12" s="703"/>
      <c r="Y12" s="355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84"/>
      <c r="Q14" s="1343">
        <f t="shared" si="6"/>
        <v>111</v>
      </c>
      <c r="R14" s="701" t="s">
        <v>14</v>
      </c>
      <c r="S14" s="702">
        <f t="shared" si="0"/>
        <v>100</v>
      </c>
      <c r="T14" s="701" t="s">
        <v>14</v>
      </c>
      <c r="U14" s="702">
        <f t="shared" si="1"/>
        <v>100</v>
      </c>
      <c r="V14" s="701" t="s">
        <v>14</v>
      </c>
      <c r="W14" s="702">
        <f t="shared" si="2"/>
        <v>100</v>
      </c>
      <c r="X14" s="703"/>
      <c r="Y14" s="355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86" t="s">
        <v>1691</v>
      </c>
      <c r="Q15" s="1352" t="str">
        <f t="shared" si="6"/>
        <v>居住社区成熟度</v>
      </c>
      <c r="R15" s="705" t="s">
        <v>14</v>
      </c>
      <c r="S15" s="706">
        <f t="shared" si="0"/>
        <v>100</v>
      </c>
      <c r="T15" s="705" t="s">
        <v>14</v>
      </c>
      <c r="U15" s="706">
        <f t="shared" si="1"/>
        <v>100</v>
      </c>
      <c r="V15" s="705" t="s">
        <v>14</v>
      </c>
      <c r="W15" s="706">
        <f t="shared" si="2"/>
        <v>100</v>
      </c>
      <c r="X15" s="1355"/>
      <c r="Y15" s="368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87"/>
      <c r="Q16" s="1352"/>
      <c r="R16" s="705"/>
      <c r="S16" s="706"/>
      <c r="T16" s="705"/>
      <c r="U16" s="706"/>
      <c r="V16" s="705"/>
      <c r="W16" s="706"/>
      <c r="X16" s="1355"/>
      <c r="Y16" s="3687"/>
      <c r="Z16" s="1356"/>
      <c r="AA16" s="1353">
        <v>1</v>
      </c>
      <c r="AB16" s="1353">
        <v>1</v>
      </c>
      <c r="AC16" s="1353">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87"/>
      <c r="Q17" s="1352" t="str">
        <f>B17</f>
        <v>商业繁华度</v>
      </c>
      <c r="R17" s="705" t="s">
        <v>14</v>
      </c>
      <c r="S17" s="706">
        <f>F17</f>
        <v>100</v>
      </c>
      <c r="T17" s="705" t="s">
        <v>14</v>
      </c>
      <c r="U17" s="706">
        <f>H17</f>
        <v>100</v>
      </c>
      <c r="V17" s="705" t="s">
        <v>14</v>
      </c>
      <c r="W17" s="706">
        <f>J17</f>
        <v>100</v>
      </c>
      <c r="X17" s="1355"/>
      <c r="Y17" s="368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87"/>
      <c r="Q18" s="1352"/>
      <c r="R18" s="705"/>
      <c r="S18" s="706"/>
      <c r="T18" s="705"/>
      <c r="U18" s="706"/>
      <c r="V18" s="705"/>
      <c r="W18" s="706"/>
      <c r="X18" s="1355"/>
      <c r="Y18" s="3687"/>
      <c r="Z18" s="1356"/>
      <c r="AA18" s="1353">
        <v>1</v>
      </c>
      <c r="AB18" s="1353">
        <v>1</v>
      </c>
      <c r="AC18" s="1353">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87"/>
      <c r="Q19" s="1352" t="str">
        <f>B19</f>
        <v>办公集聚程度</v>
      </c>
      <c r="R19" s="705" t="s">
        <v>14</v>
      </c>
      <c r="S19" s="706">
        <f>F19</f>
        <v>100</v>
      </c>
      <c r="T19" s="705" t="s">
        <v>14</v>
      </c>
      <c r="U19" s="706">
        <f>H19</f>
        <v>100</v>
      </c>
      <c r="V19" s="705" t="s">
        <v>14</v>
      </c>
      <c r="W19" s="706">
        <f>J19</f>
        <v>100</v>
      </c>
      <c r="X19" s="1355"/>
      <c r="Y19" s="368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87"/>
      <c r="Q20" s="1352"/>
      <c r="R20" s="705"/>
      <c r="S20" s="706"/>
      <c r="T20" s="705"/>
      <c r="U20" s="706"/>
      <c r="V20" s="705"/>
      <c r="W20" s="706"/>
      <c r="X20" s="1355"/>
      <c r="Y20" s="368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87"/>
      <c r="Q21" s="1352" t="str">
        <f>B21</f>
        <v>交通便捷度</v>
      </c>
      <c r="R21" s="705" t="s">
        <v>14</v>
      </c>
      <c r="S21" s="706">
        <f>F21</f>
        <v>100</v>
      </c>
      <c r="T21" s="705" t="s">
        <v>14</v>
      </c>
      <c r="U21" s="706">
        <f>H21</f>
        <v>100</v>
      </c>
      <c r="V21" s="705" t="s">
        <v>14</v>
      </c>
      <c r="W21" s="706">
        <f>J21</f>
        <v>100</v>
      </c>
      <c r="X21" s="1355"/>
      <c r="Y21" s="368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87"/>
      <c r="Q22" s="1352"/>
      <c r="R22" s="705"/>
      <c r="S22" s="706"/>
      <c r="T22" s="705"/>
      <c r="U22" s="706"/>
      <c r="V22" s="705"/>
      <c r="W22" s="706"/>
      <c r="X22" s="1355"/>
      <c r="Y22" s="368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87"/>
      <c r="Q23" s="1352" t="str">
        <f t="shared" ref="Q23:Q37" si="8">B23</f>
        <v>区域土地利用方向</v>
      </c>
      <c r="R23" s="705" t="s">
        <v>14</v>
      </c>
      <c r="S23" s="706">
        <f>F23</f>
        <v>100</v>
      </c>
      <c r="T23" s="705" t="s">
        <v>14</v>
      </c>
      <c r="U23" s="706">
        <f>H23</f>
        <v>100</v>
      </c>
      <c r="V23" s="705" t="s">
        <v>14</v>
      </c>
      <c r="W23" s="706">
        <f>J23</f>
        <v>100</v>
      </c>
      <c r="X23" s="1355"/>
      <c r="Y23" s="368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87"/>
      <c r="Q24" s="1352"/>
      <c r="R24" s="705"/>
      <c r="S24" s="706"/>
      <c r="T24" s="705"/>
      <c r="U24" s="706"/>
      <c r="V24" s="705"/>
      <c r="W24" s="706"/>
      <c r="X24" s="1355"/>
      <c r="Y24" s="3687"/>
      <c r="Z24" s="1356"/>
      <c r="AA24" s="1353"/>
      <c r="AB24" s="1353"/>
      <c r="AC24" s="1353"/>
    </row>
    <row r="25" spans="1:29" ht="57">
      <c r="A25" s="358"/>
      <c r="B25" s="1131"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87"/>
      <c r="Q25" s="1352" t="str">
        <f t="shared" si="8"/>
        <v>自然及人文环境状况</v>
      </c>
      <c r="R25" s="705" t="s">
        <v>14</v>
      </c>
      <c r="S25" s="706">
        <f>F25</f>
        <v>100</v>
      </c>
      <c r="T25" s="705" t="s">
        <v>14</v>
      </c>
      <c r="U25" s="706">
        <f>H25</f>
        <v>100</v>
      </c>
      <c r="V25" s="705" t="s">
        <v>14</v>
      </c>
      <c r="W25" s="706">
        <f>J25</f>
        <v>100</v>
      </c>
      <c r="X25" s="1355"/>
      <c r="Y25" s="368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87"/>
      <c r="Q26" s="1352"/>
      <c r="R26" s="705"/>
      <c r="S26" s="706"/>
      <c r="T26" s="705"/>
      <c r="U26" s="706"/>
      <c r="V26" s="705"/>
      <c r="W26" s="706"/>
      <c r="X26" s="1355"/>
      <c r="Y26" s="368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87"/>
      <c r="Q27" s="1343" t="str">
        <f t="shared" si="8"/>
        <v>公共配套设施</v>
      </c>
      <c r="R27" s="701" t="s">
        <v>14</v>
      </c>
      <c r="S27" s="702">
        <f>F27</f>
        <v>100</v>
      </c>
      <c r="T27" s="701" t="s">
        <v>14</v>
      </c>
      <c r="U27" s="702">
        <f>H27</f>
        <v>100</v>
      </c>
      <c r="V27" s="701" t="s">
        <v>14</v>
      </c>
      <c r="W27" s="702">
        <f>J27</f>
        <v>100</v>
      </c>
      <c r="X27" s="703"/>
      <c r="Y27" s="3687"/>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5"/>
      <c r="M28" s="2716"/>
      <c r="N28" s="2716"/>
      <c r="O28" s="2770"/>
      <c r="P28" s="3687"/>
      <c r="Q28" s="1343"/>
      <c r="R28" s="701"/>
      <c r="S28" s="702"/>
      <c r="T28" s="701"/>
      <c r="U28" s="702"/>
      <c r="V28" s="701"/>
      <c r="W28" s="702"/>
      <c r="X28" s="703"/>
      <c r="Y28" s="368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87"/>
      <c r="Q29" s="1343" t="str">
        <f t="shared" ref="Q29" si="9">B29</f>
        <v>基础设施水平</v>
      </c>
      <c r="R29" s="701" t="s">
        <v>14</v>
      </c>
      <c r="S29" s="702">
        <f>F29</f>
        <v>100</v>
      </c>
      <c r="T29" s="701" t="s">
        <v>14</v>
      </c>
      <c r="U29" s="702">
        <f>H29</f>
        <v>100</v>
      </c>
      <c r="V29" s="701" t="s">
        <v>14</v>
      </c>
      <c r="W29" s="702">
        <f>J29</f>
        <v>100</v>
      </c>
      <c r="X29" s="703"/>
      <c r="Y29" s="3687"/>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5"/>
      <c r="M30" s="2716"/>
      <c r="N30" s="2716"/>
      <c r="O30" s="2770"/>
      <c r="P30" s="3687"/>
      <c r="Q30" s="1343"/>
      <c r="R30" s="701"/>
      <c r="S30" s="702"/>
      <c r="T30" s="701"/>
      <c r="U30" s="702"/>
      <c r="V30" s="701"/>
      <c r="W30" s="702"/>
      <c r="X30" s="703"/>
      <c r="Y30" s="368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8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87"/>
      <c r="Q32" s="1352" t="str">
        <f t="shared" si="8"/>
        <v>毗邻道路的类型与等级</v>
      </c>
      <c r="R32" s="705" t="s">
        <v>14</v>
      </c>
      <c r="S32" s="706">
        <f t="shared" si="10"/>
        <v>100</v>
      </c>
      <c r="T32" s="705" t="s">
        <v>14</v>
      </c>
      <c r="U32" s="706">
        <f t="shared" si="11"/>
        <v>100</v>
      </c>
      <c r="V32" s="705" t="s">
        <v>14</v>
      </c>
      <c r="W32" s="706">
        <f t="shared" si="12"/>
        <v>100</v>
      </c>
      <c r="X32" s="1355"/>
      <c r="Y32" s="368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87"/>
      <c r="Q33" s="1352"/>
      <c r="R33" s="705"/>
      <c r="S33" s="706"/>
      <c r="T33" s="705"/>
      <c r="U33" s="706"/>
      <c r="V33" s="705"/>
      <c r="W33" s="706"/>
      <c r="X33" s="1355"/>
      <c r="Y33" s="368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87"/>
      <c r="Q34" s="1352" t="str">
        <f t="shared" si="8"/>
        <v>土地级别</v>
      </c>
      <c r="R34" s="705" t="s">
        <v>14</v>
      </c>
      <c r="S34" s="706">
        <f t="shared" si="10"/>
        <v>100</v>
      </c>
      <c r="T34" s="705" t="s">
        <v>14</v>
      </c>
      <c r="U34" s="706">
        <f t="shared" si="11"/>
        <v>100</v>
      </c>
      <c r="V34" s="705" t="s">
        <v>14</v>
      </c>
      <c r="W34" s="706">
        <f t="shared" si="12"/>
        <v>100</v>
      </c>
      <c r="X34" s="1355"/>
      <c r="Y34" s="368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87"/>
      <c r="Q35" s="1352">
        <f t="shared" si="8"/>
        <v>111</v>
      </c>
      <c r="R35" s="705" t="s">
        <v>14</v>
      </c>
      <c r="S35" s="706">
        <f t="shared" si="10"/>
        <v>100</v>
      </c>
      <c r="T35" s="705" t="s">
        <v>14</v>
      </c>
      <c r="U35" s="706">
        <f t="shared" si="11"/>
        <v>100</v>
      </c>
      <c r="V35" s="705" t="s">
        <v>14</v>
      </c>
      <c r="W35" s="706">
        <f t="shared" si="12"/>
        <v>100</v>
      </c>
      <c r="X35" s="1355"/>
      <c r="Y35" s="368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3" t="s">
        <v>1696</v>
      </c>
      <c r="Q36" s="1352">
        <f t="shared" si="8"/>
        <v>111</v>
      </c>
      <c r="R36" s="705" t="s">
        <v>14</v>
      </c>
      <c r="S36" s="706">
        <f t="shared" si="10"/>
        <v>100</v>
      </c>
      <c r="T36" s="705" t="s">
        <v>14</v>
      </c>
      <c r="U36" s="706">
        <f t="shared" si="11"/>
        <v>100</v>
      </c>
      <c r="V36" s="705" t="s">
        <v>14</v>
      </c>
      <c r="W36" s="706">
        <f t="shared" si="12"/>
        <v>100</v>
      </c>
      <c r="X36" s="1355"/>
      <c r="Y36" s="369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91"/>
      <c r="Q37" s="1352">
        <f t="shared" si="8"/>
        <v>111</v>
      </c>
      <c r="R37" s="708" t="s">
        <v>14</v>
      </c>
      <c r="S37" s="709">
        <f t="shared" si="10"/>
        <v>100</v>
      </c>
      <c r="T37" s="708" t="s">
        <v>14</v>
      </c>
      <c r="U37" s="709">
        <f t="shared" si="11"/>
        <v>100</v>
      </c>
      <c r="V37" s="708" t="s">
        <v>14</v>
      </c>
      <c r="W37" s="709">
        <f t="shared" si="12"/>
        <v>100</v>
      </c>
      <c r="X37" s="710"/>
      <c r="Y37" s="369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91"/>
      <c r="Q38" s="1352" t="str">
        <f>B38</f>
        <v>宗地面积</v>
      </c>
      <c r="R38" s="705" t="s">
        <v>14</v>
      </c>
      <c r="S38" s="706" t="e">
        <f t="shared" si="10"/>
        <v>#N/A</v>
      </c>
      <c r="T38" s="705" t="s">
        <v>14</v>
      </c>
      <c r="U38" s="706" t="e">
        <f t="shared" si="11"/>
        <v>#N/A</v>
      </c>
      <c r="V38" s="705" t="s">
        <v>14</v>
      </c>
      <c r="W38" s="706" t="e">
        <f t="shared" si="12"/>
        <v>#N/A</v>
      </c>
      <c r="X38" s="1355"/>
      <c r="Y38" s="369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91"/>
      <c r="Q39" s="1352" t="str">
        <f t="shared" ref="Q39:Q45" si="14">B39</f>
        <v>宗地形状</v>
      </c>
      <c r="R39" s="705" t="s">
        <v>14</v>
      </c>
      <c r="S39" s="706">
        <f t="shared" si="10"/>
        <v>100</v>
      </c>
      <c r="T39" s="705" t="s">
        <v>14</v>
      </c>
      <c r="U39" s="706">
        <f t="shared" si="11"/>
        <v>100</v>
      </c>
      <c r="V39" s="705" t="s">
        <v>14</v>
      </c>
      <c r="W39" s="706">
        <f t="shared" si="12"/>
        <v>100</v>
      </c>
      <c r="X39" s="1355"/>
      <c r="Y39" s="369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91"/>
      <c r="Q40" s="1352" t="str">
        <f t="shared" si="14"/>
        <v>临街宽度及深度</v>
      </c>
      <c r="R40" s="705" t="s">
        <v>14</v>
      </c>
      <c r="S40" s="706">
        <f t="shared" si="10"/>
        <v>100</v>
      </c>
      <c r="T40" s="705" t="s">
        <v>14</v>
      </c>
      <c r="U40" s="706">
        <f t="shared" si="11"/>
        <v>100</v>
      </c>
      <c r="V40" s="705" t="s">
        <v>14</v>
      </c>
      <c r="W40" s="706">
        <f t="shared" si="12"/>
        <v>100</v>
      </c>
      <c r="X40" s="1355"/>
      <c r="Y40" s="3691"/>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91"/>
      <c r="Q41" s="1352" t="str">
        <f t="shared" si="14"/>
        <v>宗地开发程度</v>
      </c>
      <c r="R41" s="701" t="s">
        <v>14</v>
      </c>
      <c r="S41" s="702">
        <f t="shared" si="10"/>
        <v>100</v>
      </c>
      <c r="T41" s="701" t="s">
        <v>14</v>
      </c>
      <c r="U41" s="702">
        <f t="shared" si="11"/>
        <v>100</v>
      </c>
      <c r="V41" s="701" t="s">
        <v>14</v>
      </c>
      <c r="W41" s="702">
        <f t="shared" si="12"/>
        <v>100</v>
      </c>
      <c r="X41" s="703"/>
      <c r="Y41" s="369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91" t="s">
        <v>1696</v>
      </c>
      <c r="Q42" s="1352" t="str">
        <f t="shared" si="14"/>
        <v>工程地质条件</v>
      </c>
      <c r="R42" s="705" t="s">
        <v>14</v>
      </c>
      <c r="S42" s="706">
        <f t="shared" si="10"/>
        <v>100</v>
      </c>
      <c r="T42" s="705" t="s">
        <v>14</v>
      </c>
      <c r="U42" s="706">
        <f t="shared" si="11"/>
        <v>100</v>
      </c>
      <c r="V42" s="705" t="s">
        <v>14</v>
      </c>
      <c r="W42" s="706">
        <f t="shared" si="12"/>
        <v>100</v>
      </c>
      <c r="X42" s="1355"/>
      <c r="Y42" s="369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91"/>
      <c r="Q43" s="1352">
        <f t="shared" si="14"/>
        <v>111</v>
      </c>
      <c r="R43" s="705" t="s">
        <v>14</v>
      </c>
      <c r="S43" s="706">
        <f t="shared" si="10"/>
        <v>100</v>
      </c>
      <c r="T43" s="705" t="s">
        <v>14</v>
      </c>
      <c r="U43" s="706">
        <f t="shared" si="11"/>
        <v>100</v>
      </c>
      <c r="V43" s="705" t="s">
        <v>14</v>
      </c>
      <c r="W43" s="706">
        <f t="shared" si="12"/>
        <v>100</v>
      </c>
      <c r="X43" s="1355"/>
      <c r="Y43" s="369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91"/>
      <c r="Q44" s="1352">
        <f t="shared" si="14"/>
        <v>111</v>
      </c>
      <c r="R44" s="705" t="s">
        <v>14</v>
      </c>
      <c r="S44" s="706">
        <f t="shared" si="10"/>
        <v>100</v>
      </c>
      <c r="T44" s="705" t="s">
        <v>14</v>
      </c>
      <c r="U44" s="706">
        <f t="shared" si="11"/>
        <v>100</v>
      </c>
      <c r="V44" s="705" t="s">
        <v>14</v>
      </c>
      <c r="W44" s="706">
        <f t="shared" si="12"/>
        <v>100</v>
      </c>
      <c r="X44" s="1355"/>
      <c r="Y44" s="3691"/>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91"/>
      <c r="Q45" s="1352">
        <f t="shared" si="14"/>
        <v>111</v>
      </c>
      <c r="R45" s="708" t="s">
        <v>14</v>
      </c>
      <c r="S45" s="709">
        <f t="shared" si="10"/>
        <v>100</v>
      </c>
      <c r="T45" s="708" t="s">
        <v>14</v>
      </c>
      <c r="U45" s="709">
        <f t="shared" si="11"/>
        <v>100</v>
      </c>
      <c r="V45" s="708" t="s">
        <v>14</v>
      </c>
      <c r="W45" s="709">
        <f t="shared" si="12"/>
        <v>100</v>
      </c>
      <c r="X45" s="710"/>
      <c r="Y45" s="3691"/>
      <c r="Z45" s="711">
        <f t="shared" si="13"/>
        <v>111</v>
      </c>
      <c r="AA45" s="1353">
        <f t="shared" si="3"/>
        <v>1</v>
      </c>
      <c r="AB45" s="1353">
        <f t="shared" si="4"/>
        <v>1</v>
      </c>
      <c r="AC45" s="1353">
        <f t="shared" si="5"/>
        <v>1</v>
      </c>
    </row>
    <row r="46" spans="1:29" ht="15">
      <c r="A46" s="430" t="s">
        <v>1844</v>
      </c>
      <c r="B46" s="1980" t="s">
        <v>1879</v>
      </c>
      <c r="C46" s="630" t="s">
        <v>0</v>
      </c>
      <c r="D46" s="432"/>
      <c r="E46" s="433"/>
      <c r="F46" s="434"/>
      <c r="G46" s="435"/>
      <c r="H46" s="436"/>
      <c r="I46" s="433"/>
      <c r="J46" s="436"/>
      <c r="K46" s="714"/>
      <c r="L46" s="2722"/>
      <c r="M46" s="2723"/>
      <c r="N46" s="2714"/>
      <c r="O46" s="2723"/>
      <c r="P46" s="3684" t="str">
        <f>A46</f>
        <v>成交单价</v>
      </c>
      <c r="Q46" s="3684"/>
      <c r="R46" s="3715">
        <f>E46</f>
        <v>0</v>
      </c>
      <c r="S46" s="3715"/>
      <c r="T46" s="3715">
        <f>G46</f>
        <v>0</v>
      </c>
      <c r="U46" s="3715"/>
      <c r="V46" s="3715">
        <f>I46</f>
        <v>0</v>
      </c>
      <c r="W46" s="3715"/>
      <c r="X46" s="690"/>
      <c r="Y46" s="712"/>
      <c r="Z46" s="690"/>
      <c r="AA46" s="690"/>
      <c r="AB46" s="690"/>
      <c r="AC46" s="690"/>
    </row>
    <row r="47" spans="1:29" ht="15.75" thickBot="1">
      <c r="A47" s="437" t="s">
        <v>1793</v>
      </c>
      <c r="B47" s="631"/>
      <c r="C47" s="440" t="e">
        <f>R48</f>
        <v>#DIV/0!</v>
      </c>
      <c r="D47" s="2315" t="s">
        <v>2138</v>
      </c>
      <c r="E47" s="440" t="e">
        <f>R47</f>
        <v>#DIV/0!</v>
      </c>
      <c r="F47" s="2316"/>
      <c r="G47" s="439" t="e">
        <f>T47</f>
        <v>#DIV/0!</v>
      </c>
      <c r="H47" s="2316"/>
      <c r="I47" s="440" t="e">
        <f>V47</f>
        <v>#DIV/0!</v>
      </c>
      <c r="J47" s="2316"/>
      <c r="K47" s="2318">
        <f>F47+H47+J47</f>
        <v>0</v>
      </c>
      <c r="L47" s="2722"/>
      <c r="M47" s="2723"/>
      <c r="N47" s="2723"/>
      <c r="O47" s="2723"/>
      <c r="P47" s="3684" t="str">
        <f>A47</f>
        <v>比较价值（元/平方米）</v>
      </c>
      <c r="Q47" s="3684"/>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81" t="str">
        <f>A48</f>
        <v>估价对象XX用房的比较价值（楼面单价，元/平方米）</v>
      </c>
      <c r="Q48" s="3682"/>
      <c r="R48" s="3746" t="e">
        <f>ROUND(IF(D47="简单平均",AVERAGE(R47:W47),R47*F47+T47*H47+V47*J47),0)</f>
        <v>#DIV/0!</v>
      </c>
      <c r="S48" s="3746"/>
      <c r="T48" s="3746"/>
      <c r="U48" s="3746"/>
      <c r="V48" s="3746"/>
      <c r="W48" s="374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699" t="s">
        <v>1887</v>
      </c>
      <c r="H55" s="3747"/>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49.02</v>
      </c>
      <c r="F56" s="886" t="e">
        <f t="shared" ref="F56:F64" si="15">ROUND(B56*E56/10000,0)</f>
        <v>#DIV/0!</v>
      </c>
      <c r="G56" s="3695"/>
      <c r="H56" s="3684"/>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三级</v>
      </c>
      <c r="I62" s="891">
        <f>SUMIF(修正!A57:A68,H62,修正!G57:G68)</f>
        <v>0.15</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49.02</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3"/>
      <c r="M4" s="2714"/>
      <c r="N4" s="2714"/>
      <c r="O4" s="2714"/>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6" t="s">
        <v>1674</v>
      </c>
      <c r="F5" s="3727"/>
      <c r="G5" s="3718" t="s">
        <v>1675</v>
      </c>
      <c r="H5" s="3719"/>
      <c r="I5" s="3718" t="s">
        <v>1676</v>
      </c>
      <c r="J5" s="3719"/>
      <c r="K5" s="559"/>
      <c r="L5" s="2713"/>
      <c r="M5" s="2714"/>
      <c r="N5" s="2714"/>
      <c r="O5" s="2714"/>
      <c r="P5" s="3705"/>
      <c r="Q5" s="3706"/>
      <c r="R5" s="3711"/>
      <c r="S5" s="3712"/>
      <c r="T5" s="3711"/>
      <c r="U5" s="3712"/>
      <c r="V5" s="3715"/>
      <c r="W5" s="3715"/>
      <c r="X5" s="1355"/>
      <c r="Y5" s="3711"/>
      <c r="Z5" s="3712"/>
      <c r="AA5" s="3697"/>
      <c r="AB5" s="3697"/>
      <c r="AC5" s="3697"/>
    </row>
    <row r="6" spans="1:29" ht="15.75" thickBot="1">
      <c r="A6" s="360"/>
      <c r="B6" s="361"/>
      <c r="C6" s="3748" t="s">
        <v>1919</v>
      </c>
      <c r="D6" s="3749"/>
      <c r="E6" s="3750" t="s">
        <v>1919</v>
      </c>
      <c r="F6" s="3751"/>
      <c r="G6" s="3748" t="s">
        <v>1919</v>
      </c>
      <c r="H6" s="3749"/>
      <c r="I6" s="3748" t="s">
        <v>1919</v>
      </c>
      <c r="J6" s="3749"/>
      <c r="K6" s="559" t="s">
        <v>1678</v>
      </c>
      <c r="L6" s="2713"/>
      <c r="M6" s="2714"/>
      <c r="N6" s="2714"/>
      <c r="O6" s="27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45052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20" t="s">
        <v>1683</v>
      </c>
      <c r="Q8" s="3721"/>
      <c r="R8" s="701" t="s">
        <v>14</v>
      </c>
      <c r="S8" s="702">
        <f t="shared" si="0"/>
        <v>0</v>
      </c>
      <c r="T8" s="701" t="s">
        <v>14</v>
      </c>
      <c r="U8" s="702">
        <f t="shared" si="1"/>
        <v>0</v>
      </c>
      <c r="V8" s="701" t="s">
        <v>14</v>
      </c>
      <c r="W8" s="702">
        <f t="shared" si="2"/>
        <v>0</v>
      </c>
      <c r="X8" s="703"/>
      <c r="Y8" s="3720" t="s">
        <v>1683</v>
      </c>
      <c r="Z8" s="3721"/>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84"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7"/>
      <c r="M10" s="2718"/>
      <c r="N10" s="2718"/>
      <c r="O10" s="2771"/>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84"/>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84"/>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87"/>
      <c r="Q16" s="1352"/>
      <c r="R16" s="705"/>
      <c r="S16" s="706"/>
      <c r="T16" s="705"/>
      <c r="U16" s="706"/>
      <c r="V16" s="705"/>
      <c r="W16" s="706"/>
      <c r="X16" s="1355"/>
      <c r="Y16" s="368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87"/>
      <c r="Q18" s="1352"/>
      <c r="R18" s="705"/>
      <c r="S18" s="706"/>
      <c r="T18" s="705"/>
      <c r="U18" s="706"/>
      <c r="V18" s="705"/>
      <c r="W18" s="706"/>
      <c r="X18" s="1355"/>
      <c r="Y18" s="368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87"/>
      <c r="Q19" s="1352" t="str">
        <f t="shared" ref="Q19:Q33" si="8">B19</f>
        <v>区域土地利用方向</v>
      </c>
      <c r="R19" s="705" t="s">
        <v>14</v>
      </c>
      <c r="S19" s="706">
        <f>F19</f>
        <v>100</v>
      </c>
      <c r="T19" s="705" t="s">
        <v>14</v>
      </c>
      <c r="U19" s="706">
        <f>H19</f>
        <v>100</v>
      </c>
      <c r="V19" s="705" t="s">
        <v>14</v>
      </c>
      <c r="W19" s="706">
        <f>J19</f>
        <v>100</v>
      </c>
      <c r="X19" s="1355"/>
      <c r="Y19" s="368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87"/>
      <c r="Q20" s="1352"/>
      <c r="R20" s="705"/>
      <c r="S20" s="706"/>
      <c r="T20" s="705"/>
      <c r="U20" s="706"/>
      <c r="V20" s="705"/>
      <c r="W20" s="706"/>
      <c r="X20" s="1355"/>
      <c r="Y20" s="368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87"/>
      <c r="Q21" s="1352" t="str">
        <f t="shared" si="8"/>
        <v>环境状况</v>
      </c>
      <c r="R21" s="705" t="s">
        <v>14</v>
      </c>
      <c r="S21" s="706">
        <f>F21</f>
        <v>100</v>
      </c>
      <c r="T21" s="705" t="s">
        <v>14</v>
      </c>
      <c r="U21" s="706">
        <f>H21</f>
        <v>100</v>
      </c>
      <c r="V21" s="705" t="s">
        <v>14</v>
      </c>
      <c r="W21" s="706">
        <f>J21</f>
        <v>100</v>
      </c>
      <c r="X21" s="1355"/>
      <c r="Y21" s="368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87"/>
      <c r="Q22" s="1352"/>
      <c r="R22" s="705"/>
      <c r="S22" s="706"/>
      <c r="T22" s="705"/>
      <c r="U22" s="706"/>
      <c r="V22" s="705"/>
      <c r="W22" s="706"/>
      <c r="X22" s="1355"/>
      <c r="Y22" s="368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87"/>
      <c r="Q23" s="1343" t="str">
        <f t="shared" si="8"/>
        <v>公共配套设施</v>
      </c>
      <c r="R23" s="701" t="s">
        <v>14</v>
      </c>
      <c r="S23" s="702">
        <f>F23</f>
        <v>100</v>
      </c>
      <c r="T23" s="701" t="s">
        <v>14</v>
      </c>
      <c r="U23" s="702">
        <f>H23</f>
        <v>100</v>
      </c>
      <c r="V23" s="701" t="s">
        <v>14</v>
      </c>
      <c r="W23" s="702">
        <f>J23</f>
        <v>100</v>
      </c>
      <c r="X23" s="703"/>
      <c r="Y23" s="3687"/>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5"/>
      <c r="M24" s="2716"/>
      <c r="N24" s="2716"/>
      <c r="O24" s="2770"/>
      <c r="P24" s="3687"/>
      <c r="Q24" s="1343"/>
      <c r="R24" s="701"/>
      <c r="S24" s="702"/>
      <c r="T24" s="701"/>
      <c r="U24" s="702"/>
      <c r="V24" s="701"/>
      <c r="W24" s="702"/>
      <c r="X24" s="703"/>
      <c r="Y24" s="368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87"/>
      <c r="Q25" s="1343" t="str">
        <f t="shared" ref="Q25" si="9">B25</f>
        <v>基础设施水平</v>
      </c>
      <c r="R25" s="701" t="s">
        <v>14</v>
      </c>
      <c r="S25" s="702">
        <f>F25</f>
        <v>100</v>
      </c>
      <c r="T25" s="701" t="s">
        <v>14</v>
      </c>
      <c r="U25" s="702">
        <f>H25</f>
        <v>100</v>
      </c>
      <c r="V25" s="701" t="s">
        <v>14</v>
      </c>
      <c r="W25" s="702">
        <f>J25</f>
        <v>100</v>
      </c>
      <c r="X25" s="703"/>
      <c r="Y25" s="3687"/>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5"/>
      <c r="M26" s="2716"/>
      <c r="N26" s="2716"/>
      <c r="O26" s="2770"/>
      <c r="P26" s="3687"/>
      <c r="Q26" s="1343"/>
      <c r="R26" s="701"/>
      <c r="S26" s="702"/>
      <c r="T26" s="701"/>
      <c r="U26" s="702"/>
      <c r="V26" s="701"/>
      <c r="W26" s="702"/>
      <c r="X26" s="703"/>
      <c r="Y26" s="368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8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7"/>
      <c r="Z27" s="1356" t="str">
        <f t="shared" ref="Z27:Z40" si="13">Q27</f>
        <v>临街状况</v>
      </c>
      <c r="AA27" s="1353">
        <f t="shared" si="3"/>
        <v>1</v>
      </c>
      <c r="AB27" s="1353">
        <f t="shared" si="4"/>
        <v>1</v>
      </c>
      <c r="AC27" s="1353">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87"/>
      <c r="Q28" s="1352" t="str">
        <f t="shared" si="8"/>
        <v>毗邻道路的类型与等级</v>
      </c>
      <c r="R28" s="705" t="s">
        <v>14</v>
      </c>
      <c r="S28" s="706">
        <f t="shared" si="10"/>
        <v>100</v>
      </c>
      <c r="T28" s="705" t="s">
        <v>14</v>
      </c>
      <c r="U28" s="706">
        <f t="shared" si="11"/>
        <v>100</v>
      </c>
      <c r="V28" s="705" t="s">
        <v>14</v>
      </c>
      <c r="W28" s="706">
        <f t="shared" si="12"/>
        <v>100</v>
      </c>
      <c r="X28" s="1355"/>
      <c r="Y28" s="368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87"/>
      <c r="Q29" s="1352"/>
      <c r="R29" s="705"/>
      <c r="S29" s="706"/>
      <c r="T29" s="705"/>
      <c r="U29" s="706"/>
      <c r="V29" s="705"/>
      <c r="W29" s="706"/>
      <c r="X29" s="1355"/>
      <c r="Y29" s="368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87"/>
      <c r="Q30" s="1352" t="str">
        <f t="shared" si="8"/>
        <v>土地级别</v>
      </c>
      <c r="R30" s="705" t="s">
        <v>14</v>
      </c>
      <c r="S30" s="706">
        <f t="shared" si="10"/>
        <v>100</v>
      </c>
      <c r="T30" s="705" t="s">
        <v>14</v>
      </c>
      <c r="U30" s="706">
        <f t="shared" si="11"/>
        <v>100</v>
      </c>
      <c r="V30" s="705" t="s">
        <v>14</v>
      </c>
      <c r="W30" s="706">
        <f t="shared" si="12"/>
        <v>100</v>
      </c>
      <c r="X30" s="1355"/>
      <c r="Y30" s="3687"/>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87"/>
      <c r="Q31" s="1352">
        <f t="shared" si="8"/>
        <v>111</v>
      </c>
      <c r="R31" s="705" t="s">
        <v>14</v>
      </c>
      <c r="S31" s="706">
        <f t="shared" si="10"/>
        <v>100</v>
      </c>
      <c r="T31" s="705" t="s">
        <v>14</v>
      </c>
      <c r="U31" s="706">
        <f t="shared" si="11"/>
        <v>100</v>
      </c>
      <c r="V31" s="705" t="s">
        <v>14</v>
      </c>
      <c r="W31" s="706">
        <f t="shared" si="12"/>
        <v>100</v>
      </c>
      <c r="X31" s="1355"/>
      <c r="Y31" s="3687"/>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3" t="s">
        <v>1696</v>
      </c>
      <c r="Q32" s="1352">
        <f t="shared" si="8"/>
        <v>111</v>
      </c>
      <c r="R32" s="705" t="s">
        <v>14</v>
      </c>
      <c r="S32" s="706">
        <f t="shared" si="10"/>
        <v>100</v>
      </c>
      <c r="T32" s="705" t="s">
        <v>14</v>
      </c>
      <c r="U32" s="706">
        <f t="shared" si="11"/>
        <v>100</v>
      </c>
      <c r="V32" s="705" t="s">
        <v>14</v>
      </c>
      <c r="W32" s="706">
        <f t="shared" si="12"/>
        <v>100</v>
      </c>
      <c r="X32" s="1355"/>
      <c r="Y32" s="3691" t="s">
        <v>1696</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91"/>
      <c r="Q33" s="1352">
        <f t="shared" si="8"/>
        <v>111</v>
      </c>
      <c r="R33" s="708" t="s">
        <v>14</v>
      </c>
      <c r="S33" s="709">
        <f t="shared" si="10"/>
        <v>100</v>
      </c>
      <c r="T33" s="708" t="s">
        <v>14</v>
      </c>
      <c r="U33" s="709">
        <f t="shared" si="11"/>
        <v>100</v>
      </c>
      <c r="V33" s="708" t="s">
        <v>14</v>
      </c>
      <c r="W33" s="709">
        <f t="shared" si="12"/>
        <v>100</v>
      </c>
      <c r="X33" s="710"/>
      <c r="Y33" s="369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91"/>
      <c r="Q34" s="1352" t="str">
        <f>B34</f>
        <v>宗地面积</v>
      </c>
      <c r="R34" s="705" t="s">
        <v>14</v>
      </c>
      <c r="S34" s="706" t="e">
        <f t="shared" si="10"/>
        <v>#N/A</v>
      </c>
      <c r="T34" s="705" t="s">
        <v>14</v>
      </c>
      <c r="U34" s="706" t="e">
        <f t="shared" si="11"/>
        <v>#N/A</v>
      </c>
      <c r="V34" s="705" t="s">
        <v>14</v>
      </c>
      <c r="W34" s="706" t="e">
        <f t="shared" si="12"/>
        <v>#N/A</v>
      </c>
      <c r="X34" s="1355"/>
      <c r="Y34" s="369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91"/>
      <c r="Q35" s="1352" t="str">
        <f t="shared" ref="Q35:Q40" si="14">B35</f>
        <v>宗地形状</v>
      </c>
      <c r="R35" s="705" t="s">
        <v>14</v>
      </c>
      <c r="S35" s="706">
        <f t="shared" si="10"/>
        <v>100</v>
      </c>
      <c r="T35" s="705" t="s">
        <v>14</v>
      </c>
      <c r="U35" s="706">
        <f t="shared" si="11"/>
        <v>100</v>
      </c>
      <c r="V35" s="705" t="s">
        <v>14</v>
      </c>
      <c r="W35" s="706">
        <f t="shared" si="12"/>
        <v>100</v>
      </c>
      <c r="X35" s="1355"/>
      <c r="Y35" s="3691"/>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91"/>
      <c r="Q36" s="1352" t="str">
        <f t="shared" si="14"/>
        <v>宗地开发程度</v>
      </c>
      <c r="R36" s="701" t="s">
        <v>14</v>
      </c>
      <c r="S36" s="702">
        <f t="shared" si="10"/>
        <v>100</v>
      </c>
      <c r="T36" s="701" t="s">
        <v>14</v>
      </c>
      <c r="U36" s="702">
        <f t="shared" si="11"/>
        <v>100</v>
      </c>
      <c r="V36" s="701" t="s">
        <v>14</v>
      </c>
      <c r="W36" s="702">
        <f t="shared" si="12"/>
        <v>100</v>
      </c>
      <c r="X36" s="703"/>
      <c r="Y36" s="369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91" t="s">
        <v>1696</v>
      </c>
      <c r="Q37" s="1352" t="str">
        <f t="shared" si="14"/>
        <v>工程地质条件</v>
      </c>
      <c r="R37" s="705" t="s">
        <v>14</v>
      </c>
      <c r="S37" s="706">
        <f t="shared" si="10"/>
        <v>100</v>
      </c>
      <c r="T37" s="705" t="s">
        <v>14</v>
      </c>
      <c r="U37" s="706">
        <f t="shared" si="11"/>
        <v>100</v>
      </c>
      <c r="V37" s="705" t="s">
        <v>14</v>
      </c>
      <c r="W37" s="706">
        <f t="shared" si="12"/>
        <v>100</v>
      </c>
      <c r="X37" s="1355"/>
      <c r="Y37" s="369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91"/>
      <c r="Q38" s="1352">
        <f t="shared" si="14"/>
        <v>111</v>
      </c>
      <c r="R38" s="705" t="s">
        <v>14</v>
      </c>
      <c r="S38" s="706">
        <f t="shared" si="10"/>
        <v>100</v>
      </c>
      <c r="T38" s="705" t="s">
        <v>14</v>
      </c>
      <c r="U38" s="706">
        <f t="shared" si="11"/>
        <v>100</v>
      </c>
      <c r="V38" s="705" t="s">
        <v>14</v>
      </c>
      <c r="W38" s="706">
        <f t="shared" si="12"/>
        <v>100</v>
      </c>
      <c r="X38" s="1355"/>
      <c r="Y38" s="369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91"/>
      <c r="Q39" s="1352">
        <f t="shared" si="14"/>
        <v>111</v>
      </c>
      <c r="R39" s="705" t="s">
        <v>14</v>
      </c>
      <c r="S39" s="706">
        <f t="shared" si="10"/>
        <v>100</v>
      </c>
      <c r="T39" s="705" t="s">
        <v>14</v>
      </c>
      <c r="U39" s="706">
        <f t="shared" si="11"/>
        <v>100</v>
      </c>
      <c r="V39" s="705" t="s">
        <v>14</v>
      </c>
      <c r="W39" s="706">
        <f t="shared" si="12"/>
        <v>100</v>
      </c>
      <c r="X39" s="1355"/>
      <c r="Y39" s="3691"/>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91"/>
      <c r="Q40" s="1352">
        <f t="shared" si="14"/>
        <v>111</v>
      </c>
      <c r="R40" s="708" t="s">
        <v>14</v>
      </c>
      <c r="S40" s="709">
        <f t="shared" si="10"/>
        <v>100</v>
      </c>
      <c r="T40" s="708" t="s">
        <v>14</v>
      </c>
      <c r="U40" s="709">
        <f t="shared" si="11"/>
        <v>100</v>
      </c>
      <c r="V40" s="708" t="s">
        <v>14</v>
      </c>
      <c r="W40" s="709">
        <f t="shared" si="12"/>
        <v>100</v>
      </c>
      <c r="X40" s="710"/>
      <c r="Y40" s="3691"/>
      <c r="Z40" s="711">
        <f t="shared" si="13"/>
        <v>111</v>
      </c>
      <c r="AA40" s="1353">
        <f t="shared" si="3"/>
        <v>1</v>
      </c>
      <c r="AB40" s="1353">
        <f t="shared" si="4"/>
        <v>1</v>
      </c>
      <c r="AC40" s="1353">
        <f t="shared" si="5"/>
        <v>1</v>
      </c>
    </row>
    <row r="41" spans="1:31" ht="15">
      <c r="A41" s="430" t="s">
        <v>1844</v>
      </c>
      <c r="B41" s="1980" t="s">
        <v>1922</v>
      </c>
      <c r="C41" s="630" t="s">
        <v>0</v>
      </c>
      <c r="D41" s="432"/>
      <c r="E41" s="433"/>
      <c r="F41" s="434"/>
      <c r="G41" s="435"/>
      <c r="H41" s="436"/>
      <c r="I41" s="433"/>
      <c r="J41" s="436"/>
      <c r="K41" s="714"/>
      <c r="L41" s="2722"/>
      <c r="M41" s="2714"/>
      <c r="N41" s="2714"/>
      <c r="O41" s="2723"/>
      <c r="P41" s="3684" t="str">
        <f>A41</f>
        <v>成交单价</v>
      </c>
      <c r="Q41" s="3684"/>
      <c r="R41" s="3715">
        <f>E41</f>
        <v>0</v>
      </c>
      <c r="S41" s="3715"/>
      <c r="T41" s="3715">
        <f>G41</f>
        <v>0</v>
      </c>
      <c r="U41" s="3715"/>
      <c r="V41" s="3715">
        <f>I41</f>
        <v>0</v>
      </c>
      <c r="W41" s="3715"/>
      <c r="X41" s="690"/>
      <c r="Y41" s="712"/>
      <c r="Z41" s="690"/>
      <c r="AA41" s="690"/>
      <c r="AB41" s="690"/>
      <c r="AC41" s="690"/>
    </row>
    <row r="42" spans="1:31" ht="15.75" thickBot="1">
      <c r="A42" s="437" t="s">
        <v>1793</v>
      </c>
      <c r="B42" s="631"/>
      <c r="C42" s="440" t="e">
        <f>R43</f>
        <v>#DIV/0!</v>
      </c>
      <c r="D42" s="2315" t="s">
        <v>2138</v>
      </c>
      <c r="E42" s="440" t="e">
        <f>R42</f>
        <v>#DIV/0!</v>
      </c>
      <c r="F42" s="2316"/>
      <c r="G42" s="439" t="e">
        <f>T42</f>
        <v>#DIV/0!</v>
      </c>
      <c r="H42" s="2316"/>
      <c r="I42" s="440" t="e">
        <f>V42</f>
        <v>#DIV/0!</v>
      </c>
      <c r="J42" s="2316"/>
      <c r="K42" s="2318">
        <f>F42+H42+J42</f>
        <v>0</v>
      </c>
      <c r="L42" s="2722"/>
      <c r="M42" s="2714"/>
      <c r="N42" s="2714"/>
      <c r="O42" s="2723"/>
      <c r="P42" s="3684" t="str">
        <f>A42</f>
        <v>比较价值（元/平方米）</v>
      </c>
      <c r="Q42" s="3684"/>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81" t="str">
        <f>A43</f>
        <v>估价对象XX用房的比较价值（楼面单价，元/平方米）</v>
      </c>
      <c r="Q43" s="3682"/>
      <c r="R43" s="3746" t="e">
        <f>ROUND(IF(D42="简单平均",AVERAGE(R42:W42),R42*F42+T42*H42+V42*J42),0)</f>
        <v>#DIV/0!</v>
      </c>
      <c r="S43" s="3746"/>
      <c r="T43" s="3746"/>
      <c r="U43" s="3746"/>
      <c r="V43" s="3746"/>
      <c r="W43" s="374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99" t="s">
        <v>1887</v>
      </c>
      <c r="H50" s="3747"/>
      <c r="I50" s="1356" t="s">
        <v>1923</v>
      </c>
      <c r="J50" s="1356">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49.02</v>
      </c>
      <c r="F51" s="639" t="e">
        <f t="shared" ref="F51:F60" si="15">ROUND(B51*E51/10000,0)</f>
        <v>#DIV/0!</v>
      </c>
      <c r="G51" s="3695"/>
      <c r="H51" s="3684"/>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三级</v>
      </c>
      <c r="I58" s="773">
        <f>SUMIF(修正!A57:A68,H58,修正!G57:G68)</f>
        <v>0.15</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184</v>
      </c>
      <c r="C2" s="2143" t="s">
        <v>2074</v>
      </c>
      <c r="D2" s="2143" t="s">
        <v>2075</v>
      </c>
      <c r="E2" s="2610">
        <f ca="1">SUMIF(E6:E13,"&lt;&gt;#ref!",E6:E13)</f>
        <v>49.02</v>
      </c>
      <c r="F2" s="2791"/>
      <c r="G2" s="2791"/>
      <c r="H2" s="2791"/>
      <c r="I2" s="2791"/>
      <c r="J2" s="2791"/>
      <c r="K2" s="2791"/>
      <c r="L2" s="2791"/>
      <c r="M2" s="2791"/>
      <c r="N2" s="2791"/>
      <c r="O2" s="2791"/>
      <c r="P2" s="2791"/>
    </row>
    <row r="3" spans="1:16" ht="15.75">
      <c r="A3" s="2143" t="s">
        <v>2076</v>
      </c>
      <c r="B3" s="2600">
        <f ca="1">ROUND(B2*10000/E2,0)</f>
        <v>37536</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184</v>
      </c>
      <c r="C6" s="2143" t="s">
        <v>2074</v>
      </c>
      <c r="D6" s="2791"/>
      <c r="E6" s="2610">
        <f ca="1">SUMIF(INDIRECT("'"&amp;A6&amp;"'"&amp;"!C:C"),"建筑面积",INDIRECT("'"&amp;A6&amp;"'"&amp;"!D:D"))</f>
        <v>49.02</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3393</v>
      </c>
      <c r="C1" s="1859" t="s">
        <v>1563</v>
      </c>
      <c r="D1" s="198"/>
      <c r="E1" s="198"/>
      <c r="F1" s="198"/>
      <c r="G1" s="1126">
        <f>MATCH(B1,'数据-取费表'!A6:A16,0)+5</f>
        <v>6</v>
      </c>
      <c r="H1" s="1061" t="str">
        <f>IF(ISERROR(FIND("住宅",B1)),"非住宅","住宅")</f>
        <v>住宅</v>
      </c>
    </row>
    <row r="2" spans="1:8" s="200" customFormat="1" ht="18" customHeight="1">
      <c r="A2" s="201" t="s">
        <v>1462</v>
      </c>
      <c r="B2" s="3422">
        <f ca="1">ROUND(IF(D2="——",C52/10000,C52/10000-E2),4)</f>
        <v>293.11219999999997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59794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1893861.82</v>
      </c>
      <c r="D5" s="211" t="s">
        <v>1469</v>
      </c>
      <c r="E5" s="212" t="s">
        <v>1470</v>
      </c>
      <c r="F5" s="212" t="s">
        <v>1471</v>
      </c>
      <c r="G5" s="213"/>
    </row>
    <row r="6" spans="1:8" s="214" customFormat="1" ht="13.5" customHeight="1">
      <c r="A6" s="778" t="s">
        <v>1472</v>
      </c>
      <c r="B6" s="215" t="s">
        <v>1473</v>
      </c>
      <c r="C6" s="216">
        <f>基准地价修正!C33*基准地价修正!D33</f>
        <v>1837808.82</v>
      </c>
      <c r="D6" s="217"/>
      <c r="E6" s="218"/>
      <c r="F6" s="218"/>
      <c r="G6" s="219"/>
    </row>
    <row r="7" spans="1:8" s="214" customFormat="1" ht="13.5" customHeight="1">
      <c r="A7" s="778" t="s">
        <v>1474</v>
      </c>
      <c r="B7" s="215" t="s">
        <v>1475</v>
      </c>
      <c r="C7" s="220">
        <f>ROUND(C6*F7,0)</f>
        <v>56053</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7843</v>
      </c>
      <c r="D9" s="845">
        <f ca="1">IF(B1="",'数据-汇总表'!E5,IF(INDIRECT("'数据-取费表'!c"&amp;$G$1)="住宅",INDIRECT("'数据-取费表'!k"&amp;$G$1),0))</f>
        <v>49.02</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9804</v>
      </c>
      <c r="D19" s="849">
        <f ca="1">D9+D10</f>
        <v>49.02</v>
      </c>
      <c r="E19" s="211">
        <f>'数据-取费表'!B31</f>
        <v>200</v>
      </c>
      <c r="F19" s="231"/>
      <c r="G19" s="1856" t="s">
        <v>436</v>
      </c>
    </row>
    <row r="20" spans="1:7" s="214" customFormat="1" ht="13.5" customHeight="1">
      <c r="A20" s="255" t="s">
        <v>1574</v>
      </c>
      <c r="B20" s="210" t="s">
        <v>1575</v>
      </c>
      <c r="C20" s="232">
        <f ca="1">ROUND((C5+C19)*F20,0)</f>
        <v>38073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186952</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184190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954</v>
      </c>
      <c r="D24" s="238"/>
      <c r="E24" s="238"/>
      <c r="F24" s="239"/>
      <c r="G24" s="240" t="s">
        <v>1586</v>
      </c>
    </row>
    <row r="25" spans="1:7" s="214" customFormat="1" ht="24">
      <c r="A25" s="780" t="s">
        <v>1476</v>
      </c>
      <c r="B25" s="215" t="s">
        <v>1587</v>
      </c>
      <c r="C25" s="1128">
        <f ca="1">ROUND(IF('数据-取费表'!B22&lt;=1,C20*F22*'数据-取费表'!B22/2,C20*(POWER((1+F22),'数据-取费表'!B22/2)-1)),0)</f>
        <v>1808</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388348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388348</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2730866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228433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196080</v>
      </c>
      <c r="D34" s="217"/>
      <c r="E34" s="220"/>
      <c r="F34" s="257"/>
      <c r="G34" s="219"/>
    </row>
    <row r="35" spans="1:7" ht="13.5" customHeight="1">
      <c r="A35" s="780" t="s">
        <v>351</v>
      </c>
      <c r="B35" s="215" t="s">
        <v>1527</v>
      </c>
      <c r="C35" s="220">
        <f ca="1">ROUND(C34*F35,0)</f>
        <v>9804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9804</v>
      </c>
      <c r="D36" s="220"/>
      <c r="E36" s="220"/>
      <c r="F36" s="259">
        <f>'数据-取费表'!B34</f>
        <v>0.05</v>
      </c>
      <c r="G36" s="260" t="s">
        <v>1530</v>
      </c>
    </row>
    <row r="37" spans="1:7" s="258" customFormat="1" ht="13.5" customHeight="1">
      <c r="A37" s="780" t="s">
        <v>353</v>
      </c>
      <c r="B37" s="215" t="s">
        <v>1531</v>
      </c>
      <c r="C37" s="249">
        <f ca="1">ROUND(E37*D37,0)</f>
        <v>9804</v>
      </c>
      <c r="D37" s="217">
        <f ca="1">D19</f>
        <v>49.02</v>
      </c>
      <c r="E37" s="249">
        <f>'数据-取费表'!B35</f>
        <v>200</v>
      </c>
      <c r="F37" s="259"/>
      <c r="G37" s="261"/>
    </row>
    <row r="38" spans="1:7" ht="13.5" customHeight="1">
      <c r="A38" s="780" t="s">
        <v>354</v>
      </c>
      <c r="B38" s="215" t="s">
        <v>1533</v>
      </c>
      <c r="C38" s="220">
        <f ca="1">ROUND(C34*F38,0)</f>
        <v>2941</v>
      </c>
      <c r="D38" s="220"/>
      <c r="E38" s="220"/>
      <c r="F38" s="259">
        <f>'数据-取费表'!B36</f>
        <v>1.4999999999999999E-2</v>
      </c>
      <c r="G38" s="219" t="s">
        <v>1528</v>
      </c>
    </row>
    <row r="39" spans="1:7" s="214" customFormat="1" ht="13.5" customHeight="1">
      <c r="A39" s="255" t="s">
        <v>1534</v>
      </c>
      <c r="B39" s="210" t="s">
        <v>1535</v>
      </c>
      <c r="C39" s="232">
        <f ca="1">ROUND(C33*F20,0)</f>
        <v>4569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11068</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10851</v>
      </c>
      <c r="D42" s="238"/>
      <c r="E42" s="238"/>
      <c r="F42" s="239"/>
      <c r="G42" s="3652" t="s">
        <v>1591</v>
      </c>
    </row>
    <row r="43" spans="1:7" ht="13.5" customHeight="1">
      <c r="A43" s="780" t="s">
        <v>347</v>
      </c>
      <c r="B43" s="215" t="s">
        <v>1545</v>
      </c>
      <c r="C43" s="238">
        <f ca="1">ROUND(IF('数据-取费表'!B22&lt;=1,C39*F22*'数据-取费表'!B20/2,C39*(POWER((1+F22),'数据-取费表'!B20/2)-1)),0)</f>
        <v>217</v>
      </c>
      <c r="D43" s="238"/>
      <c r="E43" s="238"/>
      <c r="F43" s="239"/>
      <c r="G43" s="3653"/>
    </row>
    <row r="44" spans="1:7" ht="13.5" customHeight="1">
      <c r="A44" s="780" t="s">
        <v>348</v>
      </c>
      <c r="B44" s="215" t="s">
        <v>1546</v>
      </c>
      <c r="C44" s="238">
        <f ca="1">ROUND(IF('数据-取费表'!B22&lt;=1,C40*F22*'数据-取费表'!B20/2,C40*(POWER((1+F22),'数据-取费表'!B20/2)-1)),4)</f>
        <v>1E-3</v>
      </c>
      <c r="D44" s="238"/>
      <c r="E44" s="238"/>
      <c r="F44" s="239"/>
      <c r="G44" s="3654"/>
    </row>
    <row r="45" spans="1:7" s="214" customFormat="1" ht="13.5" customHeight="1">
      <c r="A45" s="255" t="s">
        <v>1547</v>
      </c>
      <c r="B45" s="244" t="s">
        <v>1513</v>
      </c>
      <c r="C45" s="245">
        <f ca="1">C46</f>
        <v>46600</v>
      </c>
      <c r="D45" s="235">
        <f ca="1">C47</f>
        <v>4.0000000000000001E-3</v>
      </c>
      <c r="E45" s="236" t="s">
        <v>1539</v>
      </c>
      <c r="F45" s="246">
        <f ca="1">F27</f>
        <v>0.2</v>
      </c>
      <c r="G45" s="247" t="s">
        <v>1548</v>
      </c>
    </row>
    <row r="46" spans="1:7" s="214" customFormat="1" ht="13.5" customHeight="1">
      <c r="A46" s="780" t="s">
        <v>346</v>
      </c>
      <c r="B46" s="248" t="s">
        <v>1549</v>
      </c>
      <c r="C46" s="249">
        <f ca="1">ROUND((C33+C39)*F27,0)</f>
        <v>46600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315363</v>
      </c>
      <c r="D49" s="232"/>
      <c r="E49" s="232"/>
      <c r="F49" s="264"/>
      <c r="G49" s="234" t="s">
        <v>1554</v>
      </c>
    </row>
    <row r="50" spans="1:7" s="258" customFormat="1">
      <c r="A50" s="255" t="s">
        <v>1555</v>
      </c>
      <c r="B50" s="210" t="s">
        <v>1556</v>
      </c>
      <c r="C50" s="232"/>
      <c r="D50" s="232"/>
      <c r="E50" s="232"/>
      <c r="F50" s="264">
        <f>IF('数据-取费表'!B24=0,'数据-取费表'!N16,1)</f>
        <v>0.63500000000000001</v>
      </c>
      <c r="G50" s="247"/>
    </row>
    <row r="51" spans="1:7" ht="16.5" customHeight="1">
      <c r="A51" s="255" t="s">
        <v>1558</v>
      </c>
      <c r="B51" s="210" t="s">
        <v>1593</v>
      </c>
      <c r="C51" s="232">
        <f ca="1">ROUND(C49*F50,0)</f>
        <v>200256</v>
      </c>
      <c r="D51" s="232"/>
      <c r="E51" s="232"/>
      <c r="F51" s="264"/>
      <c r="G51" s="234" t="s">
        <v>1560</v>
      </c>
    </row>
    <row r="52" spans="1:7" s="208" customFormat="1" ht="16.5" thickBot="1">
      <c r="A52" s="265" t="s">
        <v>1561</v>
      </c>
      <c r="B52" s="266"/>
      <c r="C52" s="267">
        <f ca="1">C31+C51</f>
        <v>2931122</v>
      </c>
      <c r="D52" s="266"/>
      <c r="E52" s="266"/>
      <c r="F52" s="266"/>
      <c r="G52" s="268"/>
    </row>
    <row r="55" spans="1:7" ht="15">
      <c r="B55" s="270" t="s">
        <v>1562</v>
      </c>
      <c r="C55" s="271"/>
    </row>
    <row r="56" spans="1:7">
      <c r="B56" s="273" t="s">
        <v>802</v>
      </c>
      <c r="C56" s="275">
        <f ca="1">1-C57</f>
        <v>0.93199999999999994</v>
      </c>
    </row>
    <row r="57" spans="1:7">
      <c r="B57" s="273" t="s">
        <v>803</v>
      </c>
      <c r="C57" s="274">
        <f ca="1">ROUND(C51/C52,3)</f>
        <v>6.8000000000000005E-2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0" zoomScaleNormal="80" zoomScaleSheetLayoutView="100" workbookViewId="0">
      <selection activeCell="D34" sqref="D3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1926</v>
      </c>
      <c r="B1" s="197"/>
      <c r="C1" s="201" t="s">
        <v>1927</v>
      </c>
      <c r="D1" s="342">
        <f>SUM(D33:D34,D37:D42)</f>
        <v>49.02</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184</v>
      </c>
      <c r="C2" s="1997" t="s">
        <v>1935</v>
      </c>
      <c r="D2" s="1998" t="s">
        <v>1936</v>
      </c>
      <c r="E2" s="3420" t="s">
        <v>3393</v>
      </c>
      <c r="F2" s="1998" t="s">
        <v>1937</v>
      </c>
      <c r="G2" s="1999" t="str">
        <f>IF(E2="商业",项目基本情况!B37,IF(E2="办公",项目基本情况!C37,IF(E2="住宅",项目基本情况!D37,IF(E2="工业",项目基本情况!E37,项目基本情况!F37))))</f>
        <v>三级</v>
      </c>
      <c r="H2" s="1998" t="s">
        <v>1938</v>
      </c>
      <c r="I2" s="1999" t="str">
        <f>IF(E2="商业",项目基本情况!B38,IF(E2="办公",项目基本情况!C38,IF(E2="住宅",项目基本情况!D38,IF(E2="工业",项目基本情况!E38,项目基本情况!F38))))</f>
        <v>Ⅲ—11</v>
      </c>
      <c r="J2" s="2000"/>
      <c r="K2" s="1119"/>
      <c r="L2" s="2001"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46079</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37536</v>
      </c>
      <c r="C3" s="1997" t="s">
        <v>1941</v>
      </c>
      <c r="D3" s="1998" t="s">
        <v>1942</v>
      </c>
      <c r="E3" s="3418" t="s">
        <v>3418</v>
      </c>
      <c r="F3" s="2002" t="s">
        <v>3439</v>
      </c>
      <c r="G3" s="752">
        <f>IF(F3="宗地容积率",'数据-汇总表'!I4,IF(F3="估价对象容积率",'数据-汇总表'!I6,'数据-汇总表'!I7))</f>
        <v>1</v>
      </c>
      <c r="H3" s="170" t="s">
        <v>1943</v>
      </c>
      <c r="I3" s="775"/>
      <c r="J3" s="2000" t="s">
        <v>1944</v>
      </c>
      <c r="K3" s="1119"/>
      <c r="L3" s="2001" t="s">
        <v>1945</v>
      </c>
      <c r="M3" s="864">
        <f>SUMPRODUCT((区片价!B30:B54=I2)*(区片价!C3:G3=E2)*(区片价!C30:G54))</f>
        <v>22610</v>
      </c>
      <c r="N3" s="866">
        <f>SUMPRODUCT((因素修正幅度!B30:B54=I2)*(因素修正幅度!C3:G3=E2)*(因素修正幅度!C30:G54))</f>
        <v>8.2000000000000003E-2</v>
      </c>
      <c r="O3" s="1119"/>
      <c r="P3" s="1119"/>
      <c r="Q3" s="1119"/>
      <c r="R3" s="1212">
        <v>2</v>
      </c>
      <c r="S3" s="3359">
        <f>ROUND(SUMPRODUCT((B106:B110=R3)*(C105:N105=G2)*(C106:N110)),4)</f>
        <v>1.1838</v>
      </c>
      <c r="T3" s="3359">
        <f t="shared" si="0"/>
        <v>36319</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65"/>
      <c r="B4" s="3766"/>
      <c r="C4" s="3766"/>
      <c r="D4" s="3767"/>
      <c r="E4" s="3767"/>
      <c r="F4" s="3767"/>
      <c r="G4" s="3767"/>
      <c r="H4" s="3767"/>
      <c r="I4" s="3767"/>
      <c r="J4" s="3768"/>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30696</v>
      </c>
      <c r="U4" s="1213"/>
      <c r="V4" s="3359">
        <f t="shared" si="1"/>
        <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1947</v>
      </c>
      <c r="C5" s="753">
        <f>ROUND(IF(E2="商业",C6*C7*C17+C20,(IF(E2="住宅",C6*C13*C17+C20,IF(E2="办公",C6*C12*C17+C20,C6+C20)))),0)</f>
        <v>27421</v>
      </c>
      <c r="D5" s="1339">
        <f>ROUND(C6*C17+C20,0)</f>
        <v>22610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27072</v>
      </c>
      <c r="U5" s="1213"/>
      <c r="V5" s="3359">
        <f t="shared" si="1"/>
        <v>0</v>
      </c>
      <c r="W5" s="1216"/>
      <c r="X5" s="1216"/>
      <c r="Y5" s="1216"/>
      <c r="Z5" s="1216"/>
      <c r="AA5" s="1216"/>
      <c r="AB5" s="1216"/>
      <c r="AC5" s="2009"/>
      <c r="AD5" s="2010"/>
      <c r="AE5" s="2010"/>
      <c r="AF5" s="2010"/>
      <c r="AG5" s="2010"/>
      <c r="AH5" s="2010"/>
      <c r="AI5" s="2010"/>
      <c r="AJ5" s="2011"/>
    </row>
    <row r="6" spans="1:36" ht="15.75" thickBot="1">
      <c r="A6" s="2013" t="s">
        <v>1949</v>
      </c>
      <c r="B6" s="2014" t="s">
        <v>1950</v>
      </c>
      <c r="C6" s="754">
        <f>SUMIF(L1:L12,G2,M1:M12)</f>
        <v>22610</v>
      </c>
      <c r="D6" s="2015"/>
      <c r="E6" s="2016"/>
      <c r="F6" s="2016"/>
      <c r="G6" s="2017"/>
      <c r="H6" s="2017"/>
      <c r="I6" s="2017"/>
      <c r="J6" s="2018"/>
      <c r="K6" s="1384"/>
      <c r="L6" s="2001"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26017</v>
      </c>
      <c r="U6" s="1213"/>
      <c r="V6" s="3359">
        <f t="shared" si="1"/>
        <v>0</v>
      </c>
      <c r="W6" s="1216"/>
      <c r="X6" s="1216"/>
      <c r="Y6" s="1216"/>
      <c r="Z6" s="1216"/>
      <c r="AA6" s="1216"/>
      <c r="AB6" s="1216"/>
      <c r="AC6" s="2009"/>
      <c r="AD6" s="2010"/>
      <c r="AE6" s="2010"/>
      <c r="AF6" s="2010"/>
      <c r="AG6" s="2010"/>
      <c r="AH6" s="2010"/>
      <c r="AI6" s="2010"/>
      <c r="AJ6" s="2011"/>
    </row>
    <row r="7" spans="1:36" ht="24.75" thickBot="1">
      <c r="A7" s="3302" t="s">
        <v>3242</v>
      </c>
      <c r="B7" s="2019" t="s">
        <v>1952</v>
      </c>
      <c r="C7" s="755">
        <f>IF(C8="不临65条商业街",1,ROUND(1+(1.6*E8+1.2*E9+0.8*E10+0.4*E11)*C9,4))</f>
        <v>1</v>
      </c>
      <c r="D7" s="2020" t="s">
        <v>1953</v>
      </c>
      <c r="E7" s="776"/>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三级</v>
      </c>
      <c r="Y7" s="1214" t="s">
        <v>1956</v>
      </c>
      <c r="Z7" s="1215">
        <f>G3</f>
        <v>1</v>
      </c>
      <c r="AA7" s="1216"/>
      <c r="AB7" s="1216"/>
      <c r="AC7" s="1217"/>
      <c r="AD7" s="1218"/>
      <c r="AE7" s="1218"/>
      <c r="AF7" s="1218"/>
      <c r="AG7" s="1218"/>
      <c r="AH7" s="1218"/>
      <c r="AI7" s="1218"/>
      <c r="AJ7" s="1219"/>
    </row>
    <row r="8" spans="1:36" ht="25.5">
      <c r="A8" s="3297"/>
      <c r="B8" s="170" t="s">
        <v>1957</v>
      </c>
      <c r="C8" s="2024" t="s">
        <v>3454</v>
      </c>
      <c r="D8" s="756" t="s">
        <v>112</v>
      </c>
      <c r="E8" s="757" t="e">
        <f>ROUND(C11/E7,4)</f>
        <v>#DIV/0!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64"/>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6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9">
        <f>C10/4</f>
        <v>0</v>
      </c>
      <c r="D11" s="759" t="s">
        <v>115</v>
      </c>
      <c r="E11" s="759" t="e">
        <f>ROUND(C11/E7,4)</f>
        <v>#DIV/0!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3247</v>
      </c>
      <c r="B13" s="2032" t="s">
        <v>1982</v>
      </c>
      <c r="C13" s="755">
        <f>ROUND(C16*D16*E16*F16*G16*H16*I16*J16,4)</f>
        <v>1.2128000000000001</v>
      </c>
      <c r="D13" s="2033" t="s">
        <v>1983</v>
      </c>
      <c r="E13" s="2034"/>
      <c r="F13" s="2034"/>
      <c r="G13" s="2035"/>
      <c r="H13" s="2035"/>
      <c r="I13" s="2035"/>
      <c r="J13" s="2036"/>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38" t="s">
        <v>1985</v>
      </c>
      <c r="C14" s="2039" t="s">
        <v>1986</v>
      </c>
      <c r="D14" s="1350" t="s">
        <v>1987</v>
      </c>
      <c r="E14" s="27" t="s">
        <v>1988</v>
      </c>
      <c r="F14" s="3310" t="s">
        <v>3248</v>
      </c>
      <c r="G14" s="3310" t="s">
        <v>3248</v>
      </c>
      <c r="H14" s="3310" t="s">
        <v>3248</v>
      </c>
      <c r="I14" s="3310" t="s">
        <v>3248</v>
      </c>
      <c r="J14" s="3310" t="s">
        <v>3248</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0"/>
      <c r="C15" s="2041" t="s">
        <v>3419</v>
      </c>
      <c r="D15" s="2042" t="s">
        <v>3419</v>
      </c>
      <c r="E15" s="2043" t="s">
        <v>3455</v>
      </c>
      <c r="F15" s="3311" t="s">
        <v>3249</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v>1.05</v>
      </c>
      <c r="D16" s="3316">
        <v>1.05</v>
      </c>
      <c r="E16" s="3316">
        <v>1.1000000000000001</v>
      </c>
      <c r="F16" s="3316">
        <v>1</v>
      </c>
      <c r="G16" s="3316">
        <v>1</v>
      </c>
      <c r="H16" s="3316">
        <v>1</v>
      </c>
      <c r="I16" s="3316">
        <v>1</v>
      </c>
      <c r="J16" s="3317">
        <v>1</v>
      </c>
      <c r="K16" s="1119"/>
      <c r="L16" s="1995"/>
      <c r="M16" s="1995"/>
      <c r="N16" s="1995"/>
      <c r="O16" s="1995"/>
      <c r="P16" s="1995"/>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0.96709999999999996</v>
      </c>
      <c r="J18" s="3332"/>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6"/>
    </row>
    <row r="19" spans="1:37" s="2012" customFormat="1" ht="15" thickBot="1">
      <c r="A19" s="3333"/>
      <c r="B19" s="3334"/>
      <c r="C19" s="3335"/>
      <c r="D19" s="3335" t="s">
        <v>3254</v>
      </c>
      <c r="E19" s="3336"/>
      <c r="F19" s="3337" t="s">
        <v>3257</v>
      </c>
      <c r="G19" s="3336"/>
      <c r="H19" s="3335"/>
      <c r="I19" s="3335"/>
      <c r="J19" s="3338"/>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9"/>
      <c r="AH19" s="2139"/>
      <c r="AI19" s="2790"/>
      <c r="AJ19" s="2790"/>
      <c r="AK19" s="2055"/>
    </row>
    <row r="20" spans="1:37" s="2012" customFormat="1" ht="14.25">
      <c r="A20" s="3769" t="s">
        <v>3259</v>
      </c>
      <c r="B20" s="167" t="s">
        <v>1994</v>
      </c>
      <c r="C20" s="3323">
        <f>ROUND(IF(F21="与级别开发程度一致",0,(G21-E21)/C21),0)</f>
        <v>0</v>
      </c>
      <c r="D20" s="3339" t="s">
        <v>1998</v>
      </c>
      <c r="E20" s="3340"/>
      <c r="F20" s="3775" t="s">
        <v>1995</v>
      </c>
      <c r="G20" s="3776"/>
      <c r="H20" s="3324"/>
      <c r="I20" s="3324"/>
      <c r="J20" s="3325"/>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2" customFormat="1" ht="26.25" thickBot="1">
      <c r="A21" s="3770"/>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3420</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2" t="s">
        <v>2002</v>
      </c>
      <c r="E23" s="761">
        <v>44197</v>
      </c>
      <c r="F23" s="2052" t="s">
        <v>2003</v>
      </c>
      <c r="G23" s="762">
        <f>'数据-取费表'!B2</f>
        <v>45052</v>
      </c>
      <c r="H23" s="3341" t="s">
        <v>3261</v>
      </c>
      <c r="I23" s="3342" t="str">
        <f>IF(H23="季度增幅（自定义）",SUMIF(N25:N28,E2,O25:O28),"")</f>
        <v/>
      </c>
      <c r="J23" s="3444" t="s">
        <v>3260</v>
      </c>
      <c r="K23" s="1125"/>
      <c r="L23" s="2053" t="s">
        <v>2004</v>
      </c>
      <c r="M23" s="1328">
        <f>ROUND(SUMIF(地价!B2:G2,E2,地价!B16:G16),0)</f>
        <v>687</v>
      </c>
      <c r="N23" s="2054"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2006</v>
      </c>
      <c r="C24" s="764">
        <f>ROUND(POWER(1+G24,J24-I24)*(POWER(1+G24,I24)-1)/(POWER(1+G24,J24)-1),4)</f>
        <v>1</v>
      </c>
      <c r="D24" s="2058" t="s">
        <v>2007</v>
      </c>
      <c r="E24" s="1335">
        <f>存贷款利率!E22/100</f>
        <v>4.3499999999999997E-2</v>
      </c>
      <c r="F24" s="2058" t="s">
        <v>1999</v>
      </c>
      <c r="G24" s="768">
        <f>SUMIF(M30:Q30,E2,M33:Q33)</f>
        <v>0.05</v>
      </c>
      <c r="H24" s="2058" t="s">
        <v>2008</v>
      </c>
      <c r="I24" s="769">
        <f>SUMIF('数据-取费表'!C6:C15,E2,'数据-取费表'!F6:F15)/COUNTIF('数据-取费表'!C6:C15,E2)</f>
        <v>70</v>
      </c>
      <c r="J24" s="770">
        <f>IF(E2="住宅",70,IF(E2="商业",40,50))</f>
        <v>70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3" t="s">
        <v>366</v>
      </c>
      <c r="B25" s="2064" t="s">
        <v>3339</v>
      </c>
      <c r="C25" s="771">
        <f>IF(B25="容积率修正",IF(G3&lt;10,D26,J26),C27)</f>
        <v>1.222</v>
      </c>
      <c r="D25" s="2065"/>
      <c r="E25" s="2065"/>
      <c r="F25" s="2065"/>
      <c r="G25" s="2065"/>
      <c r="H25" s="2065"/>
      <c r="I25" s="2065"/>
      <c r="J25" s="2066"/>
      <c r="K25" s="1125"/>
      <c r="L25" s="2786"/>
      <c r="M25" s="2786"/>
      <c r="N25" s="2067"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2014</v>
      </c>
      <c r="B26" s="2068" t="s">
        <v>2015</v>
      </c>
      <c r="C26" s="3343" t="s">
        <v>3262</v>
      </c>
      <c r="D26" s="1352">
        <f>IF(E26=G26,F26,IF(G3&lt;10,ROUND(F26+(H26-F26)*(G3-E26)/(G26-E26),4),"——"))</f>
        <v>1.222</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3343" t="s">
        <v>3263</v>
      </c>
      <c r="J26" s="772" t="str">
        <f>IF(G3&gt;=10,D115,"——")</f>
        <v>——</v>
      </c>
      <c r="K26" s="1125"/>
      <c r="L26" s="2786"/>
      <c r="M26" s="2786"/>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1.0442</v>
      </c>
      <c r="D28" s="2050"/>
      <c r="E28" s="2075"/>
      <c r="F28" s="2075"/>
      <c r="G28" s="2075"/>
      <c r="H28" s="2075"/>
      <c r="I28" s="2075"/>
      <c r="J28" s="2076"/>
      <c r="K28" s="1125"/>
      <c r="L28" s="2786"/>
      <c r="M28" s="2786"/>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2"/>
      <c r="E29" s="2022"/>
      <c r="F29" s="2079"/>
      <c r="G29" s="2022"/>
      <c r="H29" s="2022"/>
      <c r="I29" s="2022"/>
      <c r="J29" s="2023"/>
      <c r="K29" s="1119"/>
      <c r="L29" s="1995"/>
      <c r="M29" s="1995"/>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2024</v>
      </c>
      <c r="C30" s="2319">
        <f>IF(B25="容积率修正",E33+SUM(E37:E42),SUM(V2:V16)+SUM(E37:E42))</f>
        <v>184</v>
      </c>
      <c r="D30" s="2081"/>
      <c r="E30" s="2044"/>
      <c r="F30" s="2082"/>
      <c r="G30" s="2044"/>
      <c r="H30" s="2044"/>
      <c r="I30" s="2044"/>
      <c r="J30" s="2083"/>
      <c r="K30" s="1119"/>
      <c r="L30" s="3349" t="s">
        <v>1936</v>
      </c>
      <c r="M30" s="3350" t="s">
        <v>1990</v>
      </c>
      <c r="N30" s="3350" t="s">
        <v>1991</v>
      </c>
      <c r="O30" s="3350" t="s">
        <v>1992</v>
      </c>
      <c r="P30" s="3350" t="s">
        <v>1993</v>
      </c>
      <c r="Q30" s="3353" t="s">
        <v>3267</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2025</v>
      </c>
      <c r="C31" s="766">
        <f>E34+SUM(I37:I42)</f>
        <v>0</v>
      </c>
      <c r="D31" s="2085"/>
      <c r="E31" s="2086"/>
      <c r="F31" s="2087"/>
      <c r="G31" s="2086"/>
      <c r="H31" s="2086"/>
      <c r="I31" s="2086"/>
      <c r="J31" s="2088"/>
      <c r="K31" s="1119"/>
      <c r="L31" s="3351" t="s">
        <v>1996</v>
      </c>
      <c r="M31" s="1998">
        <v>0.25</v>
      </c>
      <c r="N31" s="1998">
        <v>0.2</v>
      </c>
      <c r="O31" s="1998">
        <v>0.15</v>
      </c>
      <c r="P31" s="1998">
        <v>0.1</v>
      </c>
      <c r="Q31" s="3346">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2030</v>
      </c>
      <c r="C33" s="175">
        <f>ROUND(C5*C22*C23*C24*C25*C28,0)</f>
        <v>37491</v>
      </c>
      <c r="D33" s="2096">
        <f>'数据-基础表'!I13</f>
        <v>49.02</v>
      </c>
      <c r="E33" s="773">
        <f>ROUND(C33*D33/10000,0)</f>
        <v>184</v>
      </c>
      <c r="F33" s="3344" t="s">
        <v>3265</v>
      </c>
      <c r="G33" s="2097"/>
      <c r="H33" s="2097"/>
      <c r="I33" s="2097"/>
      <c r="J33" s="2098"/>
      <c r="K33" s="1119"/>
      <c r="L33" s="3347" t="s">
        <v>3268</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f>ROUND(IF(E2="工业",C33*M42,IF(B25="楼层修正",SUM(V2:V16)*M41*10000/D34,C33*M41)),0)</f>
        <v>9373</v>
      </c>
      <c r="D34" s="2101"/>
      <c r="E34" s="773">
        <f>ROUND(IF(B25="楼层修正",SUM(V2:V16)*M40,C34*D34/10000),0)</f>
        <v>0</v>
      </c>
      <c r="F34" s="2102" t="s">
        <v>2032</v>
      </c>
      <c r="G34" s="2103"/>
      <c r="H34" s="2103"/>
      <c r="I34" s="2103"/>
      <c r="J34" s="2104"/>
      <c r="K34" s="1119"/>
      <c r="L34" s="3347" t="s">
        <v>3269</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5" t="s">
        <v>3266</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3270</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73"/>
      <c r="B37" s="2111" t="s">
        <v>2036</v>
      </c>
      <c r="C37" s="175">
        <f>ROUND(D5*C22*C23*C24*C28*F37,0)</f>
        <v>15178</v>
      </c>
      <c r="D37" s="2096"/>
      <c r="E37" s="171">
        <f>ROUND(C37*D37/10000,0)</f>
        <v>0</v>
      </c>
      <c r="F37" s="171">
        <f>SUMIF(修正!A57:A68,G2,修正!B57:B68)</f>
        <v>0.6</v>
      </c>
      <c r="G37" s="171">
        <f>ROUND(IF(E2="工业",C37*$M$42,C37*$M$41),0)</f>
        <v>3795</v>
      </c>
      <c r="H37" s="171">
        <f>D37</f>
        <v>0</v>
      </c>
      <c r="I37" s="171">
        <f>ROUND(G37*H37/10000,0)</f>
        <v>0</v>
      </c>
      <c r="J37" s="3010"/>
      <c r="K37" s="3357" t="s">
        <v>3271</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74"/>
      <c r="B38" s="2039" t="s">
        <v>2037</v>
      </c>
      <c r="C38" s="175">
        <f>ROUND(D5*C22*C23*C24*C28*F38,0)</f>
        <v>7589</v>
      </c>
      <c r="D38" s="2096"/>
      <c r="E38" s="171">
        <f t="shared" ref="E38:E42" si="4">ROUND(C38*D38/10000,0)</f>
        <v>0</v>
      </c>
      <c r="F38" s="171">
        <f>SUMIF(修正!A57:A68,G2,修正!C57:C68)</f>
        <v>0.3</v>
      </c>
      <c r="G38" s="171">
        <f>ROUND(IF(E2="工业",C38*$M$42,C38*$M$41),0)</f>
        <v>1897</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74"/>
      <c r="B39" s="2039" t="s">
        <v>3264</v>
      </c>
      <c r="C39" s="175">
        <f>ROUND(D5*C22*C23*C24*C28*F39,0)</f>
        <v>6324</v>
      </c>
      <c r="D39" s="2096"/>
      <c r="E39" s="171">
        <f t="shared" si="4"/>
        <v>0</v>
      </c>
      <c r="F39" s="171">
        <f>SUMIF(修正!A57:A68,G2,修正!D57:D68)</f>
        <v>0.25</v>
      </c>
      <c r="G39" s="171">
        <f>ROUND(IF(E2="工业",C39*$M$42,C39*$M$41),0)</f>
        <v>1581</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f>ROUND(D5*C22*C23*C24*C28*F40,0)</f>
        <v>6324</v>
      </c>
      <c r="D40" s="2096"/>
      <c r="E40" s="171">
        <f t="shared" si="4"/>
        <v>0</v>
      </c>
      <c r="F40" s="175">
        <f>SUMIF(修正!A57:A68,G2,修正!E57:E68)</f>
        <v>0.25</v>
      </c>
      <c r="G40" s="171">
        <f>ROUND(IF(E2="工业",C40*$M$42,C40*$M$41),0)</f>
        <v>1581</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8" t="s">
        <v>3272</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f>ROUND(D5*C22*C23*C44*C28*F42,0)</f>
        <v>0</v>
      </c>
      <c r="D42" s="2101"/>
      <c r="E42" s="187">
        <f t="shared" si="4"/>
        <v>0</v>
      </c>
      <c r="F42" s="767">
        <f>SUMIF(修正!A57:A68,G2,修正!G57:G68)</f>
        <v>0.15</v>
      </c>
      <c r="G42" s="187">
        <f>ROUND(IF(E2="工业",C42*$M$42,C42*$M$41),0)</f>
        <v>0</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2122</v>
      </c>
      <c r="C44" s="342">
        <f>ROUND(POWER(1+E44,H44-G44)*(POWER(1+E44,G44)-1)/(POWER(1+E44,H44)-1),4)</f>
        <v>0</v>
      </c>
      <c r="D44" s="171" t="s">
        <v>1999</v>
      </c>
      <c r="E44" s="2151">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4" t="s">
        <v>2043</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8" t="s">
        <v>2052</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8" t="s">
        <v>2053</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3274</v>
      </c>
      <c r="B52" s="2132">
        <f>估价对象房地状况!C19</f>
        <v>0</v>
      </c>
      <c r="C52" s="2042"/>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8" t="s">
        <v>2054</v>
      </c>
      <c r="B53" s="2133" t="s">
        <v>2055</v>
      </c>
      <c r="C53" s="2042"/>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8" t="s">
        <v>2056</v>
      </c>
      <c r="B54" s="2132">
        <f>估价对象房地状况!C24</f>
        <v>0</v>
      </c>
      <c r="C54" s="2042"/>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8" t="s">
        <v>2057</v>
      </c>
      <c r="B55" s="2134" t="s">
        <v>2058</v>
      </c>
      <c r="C55" s="2042"/>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5" t="s">
        <v>2059</v>
      </c>
      <c r="B56" s="1326" t="str">
        <f>估价对象房地状况!C21</f>
        <v>估价对象所在区域公共配套设施齐备情况</v>
      </c>
      <c r="C56" s="2042"/>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5" t="s">
        <v>2060</v>
      </c>
      <c r="B57" s="2132" t="str">
        <f>估价对象房地状况!C22</f>
        <v>估价对象所在区域基础设施水平</v>
      </c>
      <c r="C57" s="2042"/>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6" t="s">
        <v>2061</v>
      </c>
      <c r="B58" s="2137" t="str">
        <f>估价对象房地状况!C20</f>
        <v>区域自然环境：；人文环境；综合评价环境状况一般</v>
      </c>
      <c r="C58" s="2042"/>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4" t="s">
        <v>2062</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8" t="s">
        <v>2064</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8" t="s">
        <v>2053</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3274</v>
      </c>
      <c r="B63" s="2132">
        <f>估价对象房地状况!C19</f>
        <v>0</v>
      </c>
      <c r="C63" s="2042"/>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8" t="s">
        <v>2054</v>
      </c>
      <c r="B64" s="2133" t="s">
        <v>2055</v>
      </c>
      <c r="C64" s="2042"/>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8" t="s">
        <v>2056</v>
      </c>
      <c r="B65" s="2132">
        <f>估价对象房地状况!C24</f>
        <v>0</v>
      </c>
      <c r="C65" s="2042"/>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8" t="s">
        <v>2057</v>
      </c>
      <c r="B66" s="2134" t="s">
        <v>2058</v>
      </c>
      <c r="C66" s="2042"/>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8" t="s">
        <v>2059</v>
      </c>
      <c r="B67" s="1326" t="str">
        <f>估价对象房地状况!C21</f>
        <v>估价对象所在区域公共配套设施齐备情况</v>
      </c>
      <c r="C67" s="2042"/>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8" t="s">
        <v>2060</v>
      </c>
      <c r="B68" s="1326" t="str">
        <f>估价对象房地状况!C22</f>
        <v>估价对象所在区域基础设施水平</v>
      </c>
      <c r="C68" s="2042"/>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6" t="s">
        <v>2061</v>
      </c>
      <c r="B69" s="2138" t="str">
        <f>估价对象房地状况!C20</f>
        <v>区域自然环境：；人文环境；综合评价环境状况一般</v>
      </c>
      <c r="C69" s="2042"/>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2065</v>
      </c>
      <c r="B70" s="2125">
        <f>1+E72</f>
        <v>1.0442</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8" t="s">
        <v>2066</v>
      </c>
      <c r="B72" s="2131" t="str">
        <f>估价对象房地状况!C15</f>
        <v>估价对象周边居住用地比例、居住小区规模和社区发展完善程度，综合评价居住社区成熟度一般</v>
      </c>
      <c r="C72" s="2042" t="str">
        <f>'比较法-住宅'!C16</f>
        <v>较好</v>
      </c>
      <c r="D72" s="1065">
        <f t="shared" ref="D72:D80" si="17">SUMIF($J$71:$N$71,C72,J72:N72)</f>
        <v>8.2000000000000007E-3</v>
      </c>
      <c r="E72" s="744">
        <f>ROUND(SUM(D72:D80),4)</f>
        <v>4.4200000000000003E-2</v>
      </c>
      <c r="F72" s="1814">
        <f>IF(E2="住宅",SUMIF(L1:L12,G2,N1:N12),"——")</f>
        <v>8.2000000000000003E-2</v>
      </c>
      <c r="G72" s="1063">
        <v>8.2000000000000007E-3</v>
      </c>
      <c r="H72" s="1066">
        <f t="shared" ref="H72:H80" si="18">IFERROR(ROUNDDOWN($F$72*I72/2,4),"——")</f>
        <v>8.2000000000000007E-3</v>
      </c>
      <c r="I72" s="3365">
        <v>0.2</v>
      </c>
      <c r="J72" s="1064">
        <f t="shared" ref="J72:J80" si="19">K72+$G72</f>
        <v>1.6400000000000001E-2</v>
      </c>
      <c r="K72" s="1064">
        <f t="shared" ref="K72:K80" si="20">$L72+$G72</f>
        <v>8.2000000000000007E-3</v>
      </c>
      <c r="L72" s="1064">
        <v>0</v>
      </c>
      <c r="M72" s="1064">
        <f t="shared" ref="M72:N80" si="21">L72-$G72</f>
        <v>-8.2000000000000007E-3</v>
      </c>
      <c r="N72" s="1064">
        <f t="shared" si="21"/>
        <v>-1.6400000000000001E-2</v>
      </c>
      <c r="AA72" s="1120"/>
      <c r="AB72" s="1120"/>
      <c r="AC72" s="1120"/>
      <c r="AD72" s="1120"/>
      <c r="AE72" s="1120"/>
      <c r="AF72" s="1120"/>
      <c r="AG72" s="1120"/>
      <c r="AH72" s="1120"/>
      <c r="AI72" s="1120"/>
      <c r="AJ72" s="1120"/>
      <c r="AK72" s="1120"/>
    </row>
    <row r="73" spans="1:37" s="1119" customFormat="1" ht="38.25">
      <c r="A73" s="2128" t="s">
        <v>2053</v>
      </c>
      <c r="B73" s="2132" t="str">
        <f>估价对象房地状况!C18</f>
        <v>估价对象周边道路状况、公共交通通达情况、停车便捷程度，综合评价交通便捷度较好</v>
      </c>
      <c r="C73" s="2042" t="str">
        <f>'比较法-住宅'!C18</f>
        <v>较好</v>
      </c>
      <c r="D73" s="1065">
        <f t="shared" si="17"/>
        <v>1.06E-2</v>
      </c>
      <c r="E73" s="747"/>
      <c r="F73" s="1814"/>
      <c r="G73" s="1063">
        <v>1.06E-2</v>
      </c>
      <c r="H73" s="1066">
        <f t="shared" si="18"/>
        <v>1.06E-2</v>
      </c>
      <c r="I73" s="3365">
        <v>0.26</v>
      </c>
      <c r="J73" s="1064">
        <f t="shared" si="19"/>
        <v>2.12E-2</v>
      </c>
      <c r="K73" s="1064">
        <f t="shared" si="20"/>
        <v>1.06E-2</v>
      </c>
      <c r="L73" s="1064">
        <v>0</v>
      </c>
      <c r="M73" s="1064">
        <f t="shared" si="21"/>
        <v>-1.06E-2</v>
      </c>
      <c r="N73" s="1064">
        <f t="shared" si="21"/>
        <v>-2.12E-2</v>
      </c>
      <c r="AA73" s="1120"/>
      <c r="AB73" s="1120"/>
      <c r="AC73" s="1120"/>
      <c r="AD73" s="1120"/>
      <c r="AE73" s="1120"/>
      <c r="AF73" s="1120"/>
      <c r="AG73" s="1120"/>
      <c r="AH73" s="1120"/>
      <c r="AI73" s="1120"/>
      <c r="AJ73" s="1120"/>
      <c r="AK73" s="1120"/>
    </row>
    <row r="74" spans="1:37" s="1995" customFormat="1" ht="36">
      <c r="A74" s="3367" t="s">
        <v>3274</v>
      </c>
      <c r="B74" s="2132">
        <f>估价对象房地状况!C19</f>
        <v>0</v>
      </c>
      <c r="C74" s="2042" t="s">
        <v>3441</v>
      </c>
      <c r="D74" s="1065">
        <f t="shared" si="17"/>
        <v>4.1000000000000003E-3</v>
      </c>
      <c r="E74" s="747"/>
      <c r="F74" s="1814"/>
      <c r="G74" s="1063">
        <v>4.1000000000000003E-3</v>
      </c>
      <c r="H74" s="1066">
        <f t="shared" si="18"/>
        <v>4.1000000000000003E-3</v>
      </c>
      <c r="I74" s="3365">
        <v>0.1</v>
      </c>
      <c r="J74" s="1064">
        <f t="shared" si="19"/>
        <v>8.2000000000000007E-3</v>
      </c>
      <c r="K74" s="1064">
        <f t="shared" si="20"/>
        <v>4.1000000000000003E-3</v>
      </c>
      <c r="L74" s="1064">
        <v>0</v>
      </c>
      <c r="M74" s="1064">
        <f t="shared" si="21"/>
        <v>-4.1000000000000003E-3</v>
      </c>
      <c r="N74" s="1064">
        <f t="shared" si="21"/>
        <v>-8.2000000000000007E-3</v>
      </c>
      <c r="O74" s="1119"/>
      <c r="P74" s="1119"/>
      <c r="Q74" s="1119"/>
      <c r="AA74" s="2139"/>
      <c r="AB74" s="1120"/>
      <c r="AC74" s="1120"/>
      <c r="AD74" s="1120"/>
      <c r="AE74" s="1120"/>
      <c r="AF74" s="1120"/>
      <c r="AG74" s="1120"/>
      <c r="AH74" s="2139"/>
      <c r="AI74" s="2139"/>
      <c r="AJ74" s="2139"/>
      <c r="AK74" s="2139"/>
    </row>
    <row r="75" spans="1:37" ht="14.25">
      <c r="A75" s="2128" t="s">
        <v>2067</v>
      </c>
      <c r="B75" s="2132">
        <f>估价对象房地状况!C24</f>
        <v>0</v>
      </c>
      <c r="C75" s="2042" t="s">
        <v>3441</v>
      </c>
      <c r="D75" s="1065">
        <f t="shared" si="17"/>
        <v>2E-3</v>
      </c>
      <c r="E75" s="747"/>
      <c r="F75" s="1814"/>
      <c r="G75" s="1063">
        <v>2E-3</v>
      </c>
      <c r="H75" s="1066">
        <f t="shared" si="18"/>
        <v>2E-3</v>
      </c>
      <c r="I75" s="3365">
        <v>0.05</v>
      </c>
      <c r="J75" s="1064">
        <f t="shared" si="19"/>
        <v>4.0000000000000001E-3</v>
      </c>
      <c r="K75" s="1064">
        <f t="shared" si="20"/>
        <v>2E-3</v>
      </c>
      <c r="L75" s="1064">
        <v>0</v>
      </c>
      <c r="M75" s="1064">
        <f t="shared" si="21"/>
        <v>-2E-3</v>
      </c>
      <c r="N75" s="1064">
        <f t="shared" si="21"/>
        <v>-4.0000000000000001E-3</v>
      </c>
      <c r="O75" s="1119"/>
      <c r="P75" s="1119"/>
      <c r="Q75" s="1995"/>
      <c r="Z75" s="1996"/>
      <c r="AA75" s="2051"/>
      <c r="AG75" s="1121"/>
      <c r="AK75" s="2051"/>
    </row>
    <row r="76" spans="1:37" ht="25.5">
      <c r="A76" s="2128" t="s">
        <v>2059</v>
      </c>
      <c r="B76" s="1326" t="str">
        <f>估价对象房地状况!C21</f>
        <v>估价对象所在区域公共配套设施齐备情况</v>
      </c>
      <c r="C76" s="2042" t="str">
        <f>'比较法-住宅'!C20</f>
        <v>较好</v>
      </c>
      <c r="D76" s="1065">
        <f t="shared" si="17"/>
        <v>3.2000000000000002E-3</v>
      </c>
      <c r="E76" s="747"/>
      <c r="F76" s="1814"/>
      <c r="G76" s="1063">
        <v>3.2000000000000002E-3</v>
      </c>
      <c r="H76" s="1066">
        <f t="shared" si="18"/>
        <v>3.2000000000000002E-3</v>
      </c>
      <c r="I76" s="3365">
        <v>0.08</v>
      </c>
      <c r="J76" s="1064">
        <f t="shared" si="19"/>
        <v>6.4000000000000003E-3</v>
      </c>
      <c r="K76" s="1064">
        <f t="shared" si="20"/>
        <v>3.2000000000000002E-3</v>
      </c>
      <c r="L76" s="1064">
        <v>0</v>
      </c>
      <c r="M76" s="1064">
        <f t="shared" si="21"/>
        <v>-3.2000000000000002E-3</v>
      </c>
      <c r="N76" s="1064">
        <f t="shared" si="21"/>
        <v>-6.4000000000000003E-3</v>
      </c>
      <c r="O76" s="1119"/>
      <c r="P76" s="1119"/>
      <c r="Z76" s="1996"/>
      <c r="AA76" s="2051"/>
      <c r="AG76" s="1121"/>
      <c r="AK76" s="2051"/>
    </row>
    <row r="77" spans="1:37" ht="25.5">
      <c r="A77" s="2128" t="s">
        <v>2060</v>
      </c>
      <c r="B77" s="1326" t="str">
        <f>估价对象房地状况!C22</f>
        <v>估价对象所在区域基础设施水平</v>
      </c>
      <c r="C77" s="2042" t="s">
        <v>3456</v>
      </c>
      <c r="D77" s="1065">
        <f t="shared" si="17"/>
        <v>7.1999999999999998E-3</v>
      </c>
      <c r="E77" s="747"/>
      <c r="F77" s="1814"/>
      <c r="G77" s="1063">
        <v>3.5999999999999999E-3</v>
      </c>
      <c r="H77" s="1066">
        <f t="shared" si="18"/>
        <v>3.5999999999999999E-3</v>
      </c>
      <c r="I77" s="3365">
        <v>0.09</v>
      </c>
      <c r="J77" s="1064">
        <f t="shared" si="19"/>
        <v>7.1999999999999998E-3</v>
      </c>
      <c r="K77" s="1064">
        <f t="shared" si="20"/>
        <v>3.5999999999999999E-3</v>
      </c>
      <c r="L77" s="1064">
        <v>0</v>
      </c>
      <c r="M77" s="1064">
        <f t="shared" si="21"/>
        <v>-3.5999999999999999E-3</v>
      </c>
      <c r="N77" s="1064">
        <f t="shared" si="21"/>
        <v>-7.1999999999999998E-3</v>
      </c>
      <c r="O77" s="1119"/>
      <c r="P77" s="1119"/>
      <c r="Z77" s="1996"/>
      <c r="AA77" s="2051"/>
      <c r="AG77" s="1121"/>
      <c r="AK77" s="2051"/>
    </row>
    <row r="78" spans="1:37" ht="24">
      <c r="A78" s="2128" t="s">
        <v>2057</v>
      </c>
      <c r="B78" s="2134" t="s">
        <v>2058</v>
      </c>
      <c r="C78" s="2042" t="s">
        <v>3441</v>
      </c>
      <c r="D78" s="1065">
        <f t="shared" si="17"/>
        <v>2E-3</v>
      </c>
      <c r="E78" s="747"/>
      <c r="F78" s="1814"/>
      <c r="G78" s="1063">
        <v>2E-3</v>
      </c>
      <c r="H78" s="1066">
        <f t="shared" si="18"/>
        <v>2E-3</v>
      </c>
      <c r="I78" s="3365">
        <v>0.05</v>
      </c>
      <c r="J78" s="1064">
        <f t="shared" si="19"/>
        <v>4.0000000000000001E-3</v>
      </c>
      <c r="K78" s="1064">
        <f t="shared" si="20"/>
        <v>2E-3</v>
      </c>
      <c r="L78" s="1064">
        <v>0</v>
      </c>
      <c r="M78" s="1064">
        <f t="shared" si="21"/>
        <v>-2E-3</v>
      </c>
      <c r="N78" s="1064">
        <f t="shared" si="21"/>
        <v>-4.0000000000000001E-3</v>
      </c>
      <c r="O78" s="1995"/>
      <c r="P78" s="1995"/>
      <c r="Z78" s="1996"/>
      <c r="AA78" s="2051"/>
      <c r="AG78" s="1121"/>
      <c r="AK78" s="2051"/>
    </row>
    <row r="79" spans="1:37" ht="25.5">
      <c r="A79" s="2128" t="s">
        <v>2061</v>
      </c>
      <c r="B79" s="2131" t="str">
        <f>估价对象房地状况!C20</f>
        <v>区域自然环境：；人文环境；综合评价环境状况一般</v>
      </c>
      <c r="C79" s="2042" t="str">
        <f>'比较法-住宅'!C24</f>
        <v>较好</v>
      </c>
      <c r="D79" s="1065">
        <f t="shared" si="17"/>
        <v>4.8999999999999998E-3</v>
      </c>
      <c r="E79" s="747"/>
      <c r="F79" s="1814"/>
      <c r="G79" s="1063">
        <v>4.8999999999999998E-3</v>
      </c>
      <c r="H79" s="1066">
        <f t="shared" si="18"/>
        <v>4.8999999999999998E-3</v>
      </c>
      <c r="I79" s="3365">
        <v>0.12</v>
      </c>
      <c r="J79" s="1064">
        <f t="shared" si="19"/>
        <v>9.7999999999999997E-3</v>
      </c>
      <c r="K79" s="1064">
        <f t="shared" si="20"/>
        <v>4.8999999999999998E-3</v>
      </c>
      <c r="L79" s="1064">
        <v>0</v>
      </c>
      <c r="M79" s="1064">
        <f t="shared" si="21"/>
        <v>-4.8999999999999998E-3</v>
      </c>
      <c r="N79" s="1064">
        <f t="shared" si="21"/>
        <v>-9.7999999999999997E-3</v>
      </c>
      <c r="Z79" s="1996"/>
      <c r="AA79" s="2051"/>
      <c r="AG79" s="1121"/>
      <c r="AK79" s="2051"/>
    </row>
    <row r="80" spans="1:37" ht="24.75" thickBot="1">
      <c r="A80" s="2136" t="s">
        <v>2068</v>
      </c>
      <c r="B80" s="2140"/>
      <c r="C80" s="2042" t="s">
        <v>3441</v>
      </c>
      <c r="D80" s="1065">
        <f t="shared" si="17"/>
        <v>2E-3</v>
      </c>
      <c r="E80" s="748"/>
      <c r="F80" s="1814"/>
      <c r="G80" s="1063">
        <v>2E-3</v>
      </c>
      <c r="H80" s="1066">
        <f t="shared" si="18"/>
        <v>2E-3</v>
      </c>
      <c r="I80" s="3366">
        <v>0.05</v>
      </c>
      <c r="J80" s="1064">
        <f t="shared" si="19"/>
        <v>4.0000000000000001E-3</v>
      </c>
      <c r="K80" s="1064">
        <f t="shared" si="20"/>
        <v>2E-3</v>
      </c>
      <c r="L80" s="1064">
        <v>0</v>
      </c>
      <c r="M80" s="1064">
        <f t="shared" si="21"/>
        <v>-2E-3</v>
      </c>
      <c r="N80" s="1064">
        <f t="shared" si="21"/>
        <v>-4.0000000000000001E-3</v>
      </c>
      <c r="Z80" s="1996"/>
      <c r="AA80" s="2051"/>
      <c r="AG80" s="1121"/>
      <c r="AK80" s="2051"/>
    </row>
    <row r="81" spans="1:37" ht="15">
      <c r="A81" s="2124" t="s">
        <v>2069</v>
      </c>
      <c r="B81" s="2125">
        <f>1+E83</f>
        <v>1</v>
      </c>
      <c r="C81" s="741"/>
      <c r="D81" s="741"/>
      <c r="E81" s="742"/>
      <c r="F81" s="2127"/>
      <c r="G81" s="3"/>
      <c r="H81" s="3"/>
      <c r="I81" s="3"/>
      <c r="J81" s="4"/>
      <c r="K81" s="4"/>
      <c r="L81" s="4"/>
      <c r="M81" s="4"/>
      <c r="N81" s="4"/>
      <c r="Z81" s="1996"/>
      <c r="AA81" s="2051"/>
      <c r="AG81" s="1121"/>
      <c r="AK81" s="2051"/>
    </row>
    <row r="82" spans="1:37" ht="24.75">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38.25">
      <c r="A83" s="2128" t="s">
        <v>2070</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2053</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6"/>
      <c r="AA84" s="2051"/>
      <c r="AG84" s="1121"/>
      <c r="AK84" s="2051"/>
    </row>
    <row r="85" spans="1:37" ht="36">
      <c r="A85" s="3367" t="s">
        <v>3275</v>
      </c>
      <c r="B85" s="2132">
        <f>估价对象房地状况!G17</f>
        <v>0</v>
      </c>
      <c r="C85" s="2042"/>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6"/>
      <c r="AA85" s="2051"/>
      <c r="AG85" s="1121"/>
      <c r="AK85" s="2051"/>
    </row>
    <row r="86" spans="1:37" ht="14.25">
      <c r="A86" s="2128" t="s">
        <v>2067</v>
      </c>
      <c r="B86" s="2132">
        <f>估价对象房地状况!G22</f>
        <v>0</v>
      </c>
      <c r="C86" s="2042"/>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6"/>
      <c r="AA86" s="2051"/>
      <c r="AG86" s="1121"/>
      <c r="AK86" s="2051"/>
    </row>
    <row r="87" spans="1:37" ht="25.5">
      <c r="A87" s="2128" t="s">
        <v>2059</v>
      </c>
      <c r="B87" s="1326" t="str">
        <f>估价对象房地状况!G19</f>
        <v>估价对象所在区域公共配套设施齐备情况</v>
      </c>
      <c r="C87" s="2042"/>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28" t="s">
        <v>2060</v>
      </c>
      <c r="B88" s="1326" t="str">
        <f>估价对象房地状况!G20</f>
        <v>估价对象所在区域基础设施水平</v>
      </c>
      <c r="C88" s="2042"/>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28" t="s">
        <v>2057</v>
      </c>
      <c r="B89" s="2134" t="s">
        <v>2071</v>
      </c>
      <c r="C89" s="2042"/>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6" t="s">
        <v>2072</v>
      </c>
      <c r="B90" s="2141" t="str">
        <f>估价对象房地状况!G18</f>
        <v>该园区内是否有污染型企业，绿化情况，卫生条件，整体环境状况判断</v>
      </c>
      <c r="C90" s="2042"/>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2615</v>
      </c>
      <c r="B91" s="3376">
        <f>1+E93</f>
        <v>1</v>
      </c>
      <c r="C91" s="3369"/>
      <c r="D91" s="3370"/>
      <c r="E91" s="1814"/>
      <c r="F91" s="1814"/>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6"/>
      <c r="C93" s="2042"/>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2"/>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2"/>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2"/>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2"/>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2"/>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2"/>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2"/>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2"/>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71" t="s">
        <v>3299</v>
      </c>
      <c r="B103" s="3771"/>
      <c r="C103" s="3771"/>
      <c r="D103" s="3771"/>
      <c r="E103" s="3771"/>
      <c r="F103" s="3771"/>
      <c r="G103" s="3771"/>
      <c r="H103" s="3771"/>
      <c r="I103" s="3771"/>
      <c r="J103" s="3771"/>
      <c r="K103" s="3388"/>
      <c r="L103" s="3388"/>
      <c r="M103" s="3388"/>
      <c r="N103" s="3388"/>
    </row>
    <row r="104" spans="1:14">
      <c r="A104" s="3772" t="s">
        <v>3300</v>
      </c>
      <c r="B104" s="3772" t="s">
        <v>3301</v>
      </c>
      <c r="C104" s="3389" t="s">
        <v>3302</v>
      </c>
      <c r="D104" s="3390"/>
      <c r="E104" s="3390"/>
      <c r="F104" s="3390"/>
      <c r="G104" s="3390"/>
      <c r="H104" s="3390"/>
      <c r="I104" s="3390"/>
      <c r="J104" s="3391"/>
      <c r="K104" s="3392"/>
      <c r="L104" s="3392"/>
      <c r="M104" s="3392"/>
      <c r="N104" s="3392"/>
    </row>
    <row r="105" spans="1:14">
      <c r="A105" s="3772"/>
      <c r="B105" s="3772"/>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58"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9"/>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0"/>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61" t="s">
        <v>3316</v>
      </c>
      <c r="B113" s="3761"/>
      <c r="C113" s="3761"/>
      <c r="D113" s="3761"/>
      <c r="E113" s="3761"/>
      <c r="F113" s="3761"/>
      <c r="G113" s="3761"/>
      <c r="H113" s="3761"/>
      <c r="I113" s="3761"/>
      <c r="J113" s="376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1</v>
      </c>
      <c r="C116" s="3398" t="s">
        <v>3318</v>
      </c>
      <c r="D116" s="3399">
        <f>SUMPRODUCT((A118:A122=F116)*(B117:M117=H116)*B118:M122)</f>
        <v>0.92249999999999999</v>
      </c>
      <c r="E116" s="1998" t="s">
        <v>3319</v>
      </c>
      <c r="F116" s="3400" t="str">
        <f>E2</f>
        <v>住宅</v>
      </c>
      <c r="G116" s="1998" t="s">
        <v>3320</v>
      </c>
      <c r="H116" s="3400" t="str">
        <f>G2</f>
        <v>三级</v>
      </c>
      <c r="I116" s="1998"/>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5">I118</f>
        <v>0.8306</v>
      </c>
      <c r="K118" s="3386">
        <f t="shared" si="35"/>
        <v>0.8306</v>
      </c>
      <c r="L118" s="3386">
        <f t="shared" si="35"/>
        <v>0.8306</v>
      </c>
      <c r="M118" s="3409">
        <f t="shared" si="35"/>
        <v>0.8306</v>
      </c>
      <c r="N118" s="3396"/>
    </row>
    <row r="119" spans="1:14">
      <c r="A119" s="3408" t="s">
        <v>3334</v>
      </c>
      <c r="B119" s="3386">
        <f>ROUND(0.993-0.0112*B116,4)</f>
        <v>0.98180000000000001</v>
      </c>
      <c r="C119" s="3386">
        <f>B119</f>
        <v>0.98180000000000001</v>
      </c>
      <c r="D119" s="3386">
        <f>ROUND(0.9415-0.0142*B116,4)</f>
        <v>0.92730000000000001</v>
      </c>
      <c r="E119" s="3386">
        <f t="shared" ref="E119:H120" si="36">D119</f>
        <v>0.92730000000000001</v>
      </c>
      <c r="F119" s="3386">
        <f t="shared" si="36"/>
        <v>0.92730000000000001</v>
      </c>
      <c r="G119" s="3386">
        <f t="shared" si="36"/>
        <v>0.92730000000000001</v>
      </c>
      <c r="H119" s="3386">
        <f t="shared" si="36"/>
        <v>0.92730000000000001</v>
      </c>
      <c r="I119" s="3386">
        <f>ROUND(0.838-0.0182*B116,4)</f>
        <v>0.81979999999999997</v>
      </c>
      <c r="J119" s="3386">
        <f t="shared" si="35"/>
        <v>0.81979999999999997</v>
      </c>
      <c r="K119" s="3386">
        <f t="shared" si="35"/>
        <v>0.81979999999999997</v>
      </c>
      <c r="L119" s="3386">
        <f t="shared" si="35"/>
        <v>0.81979999999999997</v>
      </c>
      <c r="M119" s="3409">
        <f t="shared" si="35"/>
        <v>0.81979999999999997</v>
      </c>
      <c r="N119" s="3396"/>
    </row>
    <row r="120" spans="1:14">
      <c r="A120" s="3408" t="s">
        <v>3335</v>
      </c>
      <c r="B120" s="3386">
        <f>ROUND(0.9448-0.0115*B116,4)</f>
        <v>0.93330000000000002</v>
      </c>
      <c r="C120" s="3386">
        <f>B120</f>
        <v>0.93330000000000002</v>
      </c>
      <c r="D120" s="3386">
        <f>ROUND(0.937-0.0145*B116,4)</f>
        <v>0.92249999999999999</v>
      </c>
      <c r="E120" s="3386">
        <f t="shared" si="36"/>
        <v>0.92249999999999999</v>
      </c>
      <c r="F120" s="3386">
        <f t="shared" si="36"/>
        <v>0.92249999999999999</v>
      </c>
      <c r="G120" s="3386">
        <f t="shared" si="36"/>
        <v>0.92249999999999999</v>
      </c>
      <c r="H120" s="3386">
        <f t="shared" si="36"/>
        <v>0.92249999999999999</v>
      </c>
      <c r="I120" s="3386">
        <f>ROUND(0.7965-0.0185*B116,4)</f>
        <v>0.77800000000000002</v>
      </c>
      <c r="J120" s="3386">
        <f t="shared" si="35"/>
        <v>0.77800000000000002</v>
      </c>
      <c r="K120" s="3386">
        <f t="shared" si="35"/>
        <v>0.77800000000000002</v>
      </c>
      <c r="L120" s="3386">
        <f t="shared" si="35"/>
        <v>0.77800000000000002</v>
      </c>
      <c r="M120" s="3409">
        <f t="shared" si="35"/>
        <v>0.77800000000000002</v>
      </c>
      <c r="N120" s="3396"/>
    </row>
    <row r="121" spans="1:14" ht="13.5" thickBot="1">
      <c r="A121" s="3410" t="s">
        <v>3336</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5"/>
        <v>0.57150000000000001</v>
      </c>
      <c r="K121" s="3411">
        <f t="shared" si="35"/>
        <v>0.57150000000000001</v>
      </c>
      <c r="L121" s="3411">
        <f t="shared" si="35"/>
        <v>0.57150000000000001</v>
      </c>
      <c r="M121" s="3412">
        <f t="shared" si="35"/>
        <v>0.57150000000000001</v>
      </c>
      <c r="N121" s="3396"/>
    </row>
    <row r="122" spans="1:14">
      <c r="A122" s="3413" t="s">
        <v>2615</v>
      </c>
      <c r="B122" s="3386">
        <f>ROUND(0.9404-0.0106*B116,4)</f>
        <v>0.92979999999999996</v>
      </c>
      <c r="C122" s="3386">
        <f>B122</f>
        <v>0.92979999999999996</v>
      </c>
      <c r="D122" s="3386">
        <f>ROUND(0.8955-0.0135*B116,4)</f>
        <v>0.88200000000000001</v>
      </c>
      <c r="E122" s="3386">
        <f t="shared" ref="E122:H122" si="37">D122</f>
        <v>0.88200000000000001</v>
      </c>
      <c r="F122" s="3386">
        <f t="shared" si="37"/>
        <v>0.88200000000000001</v>
      </c>
      <c r="G122" s="3386">
        <f t="shared" si="37"/>
        <v>0.88200000000000001</v>
      </c>
      <c r="H122" s="3386">
        <f t="shared" si="37"/>
        <v>0.88200000000000001</v>
      </c>
      <c r="I122" s="3386">
        <f>ROUND(0.7632-0.0166*B116,4)</f>
        <v>0.74660000000000004</v>
      </c>
      <c r="J122" s="3386">
        <f t="shared" si="35"/>
        <v>0.74660000000000004</v>
      </c>
      <c r="K122" s="3386">
        <f t="shared" si="35"/>
        <v>0.74660000000000004</v>
      </c>
      <c r="L122" s="3386">
        <f t="shared" si="35"/>
        <v>0.74660000000000004</v>
      </c>
      <c r="M122" s="3409">
        <f t="shared" si="35"/>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86" t="s">
        <v>2610</v>
      </c>
      <c r="B20" s="3781" t="s">
        <v>2631</v>
      </c>
      <c r="C20" s="3101" t="s">
        <v>2442</v>
      </c>
      <c r="D20" s="3102"/>
      <c r="E20" s="3103">
        <v>1</v>
      </c>
      <c r="F20" s="3104" t="s">
        <v>2443</v>
      </c>
      <c r="G20" s="3104"/>
    </row>
    <row r="21" spans="1:13" ht="19.5" customHeight="1">
      <c r="A21" s="3787"/>
      <c r="B21" s="3780"/>
      <c r="C21" s="3105" t="s">
        <v>2444</v>
      </c>
      <c r="D21" s="3106"/>
      <c r="E21" s="3107">
        <v>1</v>
      </c>
      <c r="F21" s="3104" t="s">
        <v>2445</v>
      </c>
      <c r="G21" s="3104"/>
    </row>
    <row r="22" spans="1:13" ht="19.5" customHeight="1">
      <c r="A22" s="3787"/>
      <c r="B22" s="3780"/>
      <c r="C22" s="3105" t="s">
        <v>2446</v>
      </c>
      <c r="D22" s="3106"/>
      <c r="E22" s="3107">
        <v>0.9</v>
      </c>
      <c r="F22" s="3104" t="s">
        <v>2447</v>
      </c>
      <c r="G22" s="3104"/>
    </row>
    <row r="23" spans="1:13" ht="19.5" customHeight="1">
      <c r="A23" s="3787"/>
      <c r="B23" s="3780"/>
      <c r="C23" s="3105" t="s">
        <v>2448</v>
      </c>
      <c r="D23" s="3106"/>
      <c r="E23" s="3107">
        <v>0.9</v>
      </c>
      <c r="F23" s="3104" t="s">
        <v>2449</v>
      </c>
      <c r="G23" s="3104"/>
    </row>
    <row r="24" spans="1:13" ht="19.5" customHeight="1">
      <c r="A24" s="3787"/>
      <c r="B24" s="3780"/>
      <c r="C24" s="3105" t="s">
        <v>2450</v>
      </c>
      <c r="D24" s="3106"/>
      <c r="E24" s="3107">
        <v>0.8</v>
      </c>
      <c r="F24" s="3104" t="s">
        <v>2451</v>
      </c>
      <c r="G24" s="3104"/>
    </row>
    <row r="25" spans="1:13" ht="19.5" customHeight="1" thickBot="1">
      <c r="A25" s="3788"/>
      <c r="B25" s="3782"/>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83" t="s">
        <v>2634</v>
      </c>
      <c r="B27" s="3781" t="s">
        <v>2615</v>
      </c>
      <c r="C27" s="3101" t="s">
        <v>2455</v>
      </c>
      <c r="D27" s="3102"/>
      <c r="E27" s="3103">
        <v>1</v>
      </c>
      <c r="F27" s="3104" t="s">
        <v>2456</v>
      </c>
      <c r="G27" s="3104"/>
    </row>
    <row r="28" spans="1:13" ht="19.5" customHeight="1">
      <c r="A28" s="3784"/>
      <c r="B28" s="3780"/>
      <c r="C28" s="3105" t="s">
        <v>2457</v>
      </c>
      <c r="D28" s="3106"/>
      <c r="E28" s="3107">
        <v>1</v>
      </c>
      <c r="F28" s="3104" t="s">
        <v>2458</v>
      </c>
      <c r="G28" s="3104"/>
    </row>
    <row r="29" spans="1:13" ht="19.5" customHeight="1">
      <c r="A29" s="3784"/>
      <c r="B29" s="3780"/>
      <c r="C29" s="3105" t="s">
        <v>2459</v>
      </c>
      <c r="D29" s="3106"/>
      <c r="E29" s="3107">
        <v>0.8</v>
      </c>
      <c r="F29" s="3104" t="s">
        <v>2460</v>
      </c>
      <c r="G29" s="3104"/>
    </row>
    <row r="30" spans="1:13" ht="19.5" customHeight="1">
      <c r="A30" s="3784"/>
      <c r="B30" s="3780"/>
      <c r="C30" s="3105" t="s">
        <v>2461</v>
      </c>
      <c r="D30" s="3106"/>
      <c r="E30" s="3107">
        <v>0.8</v>
      </c>
      <c r="F30" s="3104" t="s">
        <v>2462</v>
      </c>
      <c r="G30" s="3104"/>
    </row>
    <row r="31" spans="1:13" ht="19.5" customHeight="1">
      <c r="A31" s="3784"/>
      <c r="B31" s="3780"/>
      <c r="C31" s="3105" t="s">
        <v>2463</v>
      </c>
      <c r="D31" s="3106"/>
      <c r="E31" s="3107">
        <v>0.8</v>
      </c>
      <c r="F31" s="3104" t="s">
        <v>2464</v>
      </c>
      <c r="G31" s="3104"/>
    </row>
    <row r="32" spans="1:13" ht="19.5" customHeight="1">
      <c r="A32" s="3784"/>
      <c r="B32" s="3780"/>
      <c r="C32" s="3105" t="s">
        <v>2465</v>
      </c>
      <c r="D32" s="3106"/>
      <c r="E32" s="3107">
        <v>0.7</v>
      </c>
      <c r="F32" s="3104" t="s">
        <v>2466</v>
      </c>
      <c r="G32" s="3104"/>
    </row>
    <row r="33" spans="1:7" ht="19.5" customHeight="1">
      <c r="A33" s="3784"/>
      <c r="B33" s="3780"/>
      <c r="C33" s="3105" t="s">
        <v>2467</v>
      </c>
      <c r="D33" s="3106"/>
      <c r="E33" s="3107">
        <v>0.8</v>
      </c>
      <c r="F33" s="3104" t="s">
        <v>2468</v>
      </c>
      <c r="G33" s="3104"/>
    </row>
    <row r="34" spans="1:7" ht="19.5" customHeight="1">
      <c r="A34" s="3784"/>
      <c r="B34" s="3780"/>
      <c r="C34" s="3105" t="s">
        <v>2469</v>
      </c>
      <c r="D34" s="3106"/>
      <c r="E34" s="3107">
        <v>0.6</v>
      </c>
      <c r="F34" s="3104" t="s">
        <v>2470</v>
      </c>
      <c r="G34" s="3104"/>
    </row>
    <row r="35" spans="1:7" ht="19.5" customHeight="1">
      <c r="A35" s="3784"/>
      <c r="B35" s="3780"/>
      <c r="C35" s="3105" t="s">
        <v>2471</v>
      </c>
      <c r="D35" s="3106"/>
      <c r="E35" s="3107">
        <v>0.2</v>
      </c>
      <c r="F35" s="3104" t="s">
        <v>2472</v>
      </c>
      <c r="G35" s="3104"/>
    </row>
    <row r="36" spans="1:7" ht="19.5" customHeight="1">
      <c r="A36" s="3784"/>
      <c r="B36" s="3780"/>
      <c r="C36" s="3105" t="s">
        <v>2473</v>
      </c>
      <c r="D36" s="3106"/>
      <c r="E36" s="3107">
        <v>0.2</v>
      </c>
      <c r="F36" s="3104" t="s">
        <v>2474</v>
      </c>
      <c r="G36" s="3104"/>
    </row>
    <row r="37" spans="1:7" ht="19.5" customHeight="1">
      <c r="A37" s="3784"/>
      <c r="B37" s="3778" t="s">
        <v>2635</v>
      </c>
      <c r="C37" s="3105" t="s">
        <v>2475</v>
      </c>
      <c r="D37" s="3106"/>
      <c r="E37" s="3107">
        <v>0.6</v>
      </c>
      <c r="F37" s="3104" t="s">
        <v>2476</v>
      </c>
      <c r="G37" s="3104"/>
    </row>
    <row r="38" spans="1:7" ht="19.5" customHeight="1">
      <c r="A38" s="3784"/>
      <c r="B38" s="3780"/>
      <c r="C38" s="3105" t="s">
        <v>2477</v>
      </c>
      <c r="D38" s="3106"/>
      <c r="E38" s="3107">
        <v>0.6</v>
      </c>
      <c r="F38" s="3104" t="s">
        <v>2478</v>
      </c>
      <c r="G38" s="3104"/>
    </row>
    <row r="39" spans="1:7" ht="19.5" customHeight="1" thickBot="1">
      <c r="A39" s="3785"/>
      <c r="B39" s="3782"/>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86" t="s">
        <v>2613</v>
      </c>
      <c r="B41" s="3781" t="s">
        <v>2637</v>
      </c>
      <c r="C41" s="3101" t="s">
        <v>2482</v>
      </c>
      <c r="D41" s="3102"/>
      <c r="E41" s="3103">
        <v>1</v>
      </c>
      <c r="F41" s="3104" t="s">
        <v>2483</v>
      </c>
      <c r="G41" s="3104"/>
    </row>
    <row r="42" spans="1:7" ht="19.5" customHeight="1">
      <c r="A42" s="3787"/>
      <c r="B42" s="3780"/>
      <c r="C42" s="3105" t="s">
        <v>2484</v>
      </c>
      <c r="D42" s="3106"/>
      <c r="E42" s="3107">
        <v>1</v>
      </c>
      <c r="F42" s="3104" t="s">
        <v>2485</v>
      </c>
      <c r="G42" s="3104"/>
    </row>
    <row r="43" spans="1:7" ht="19.5" customHeight="1">
      <c r="A43" s="3787"/>
      <c r="B43" s="3779"/>
      <c r="C43" s="3105" t="s">
        <v>2486</v>
      </c>
      <c r="D43" s="3106"/>
      <c r="E43" s="3107">
        <v>1.5</v>
      </c>
      <c r="F43" s="3104" t="s">
        <v>2487</v>
      </c>
      <c r="G43" s="3104"/>
    </row>
    <row r="44" spans="1:7" ht="19.5" customHeight="1">
      <c r="A44" s="3787"/>
      <c r="B44" s="3116" t="s">
        <v>2638</v>
      </c>
      <c r="C44" s="3105" t="s">
        <v>2639</v>
      </c>
      <c r="D44" s="3106"/>
      <c r="E44" s="3107">
        <v>2</v>
      </c>
      <c r="F44" s="3104" t="s">
        <v>2488</v>
      </c>
      <c r="G44" s="3104"/>
    </row>
    <row r="45" spans="1:7" ht="19.5" customHeight="1">
      <c r="A45" s="3787"/>
      <c r="B45" s="3778" t="s">
        <v>2640</v>
      </c>
      <c r="C45" s="3105" t="s">
        <v>2489</v>
      </c>
      <c r="D45" s="3106"/>
      <c r="E45" s="3107">
        <v>1</v>
      </c>
      <c r="F45" s="3104" t="s">
        <v>2490</v>
      </c>
      <c r="G45" s="3104"/>
    </row>
    <row r="46" spans="1:7" ht="19.5" customHeight="1">
      <c r="A46" s="3787"/>
      <c r="B46" s="3780"/>
      <c r="C46" s="3105" t="s">
        <v>2491</v>
      </c>
      <c r="D46" s="3106"/>
      <c r="E46" s="3107">
        <v>1</v>
      </c>
      <c r="F46" s="3104" t="s">
        <v>2492</v>
      </c>
      <c r="G46" s="3104"/>
    </row>
    <row r="47" spans="1:7" ht="19.5" customHeight="1">
      <c r="A47" s="3787"/>
      <c r="B47" s="3780"/>
      <c r="C47" s="3105" t="s">
        <v>2493</v>
      </c>
      <c r="D47" s="3106"/>
      <c r="E47" s="3107">
        <v>1</v>
      </c>
      <c r="F47" s="3104" t="s">
        <v>2494</v>
      </c>
      <c r="G47" s="3104"/>
    </row>
    <row r="48" spans="1:7" ht="19.5" customHeight="1">
      <c r="A48" s="3787"/>
      <c r="B48" s="3780"/>
      <c r="C48" s="3105" t="s">
        <v>2495</v>
      </c>
      <c r="D48" s="3106"/>
      <c r="E48" s="3107">
        <v>1</v>
      </c>
      <c r="F48" s="3104" t="s">
        <v>2496</v>
      </c>
      <c r="G48" s="3104"/>
    </row>
    <row r="49" spans="1:7" ht="19.5" customHeight="1">
      <c r="A49" s="3787"/>
      <c r="B49" s="3780"/>
      <c r="C49" s="3105" t="s">
        <v>2497</v>
      </c>
      <c r="D49" s="3106"/>
      <c r="E49" s="3107">
        <v>1</v>
      </c>
      <c r="F49" s="3104" t="s">
        <v>2498</v>
      </c>
      <c r="G49" s="3104"/>
    </row>
    <row r="50" spans="1:7" ht="19.5" customHeight="1">
      <c r="A50" s="3787"/>
      <c r="B50" s="3780"/>
      <c r="C50" s="3105" t="s">
        <v>2499</v>
      </c>
      <c r="D50" s="3106"/>
      <c r="E50" s="3107">
        <v>1</v>
      </c>
      <c r="F50" s="3104" t="s">
        <v>2500</v>
      </c>
      <c r="G50" s="3104"/>
    </row>
    <row r="51" spans="1:7" ht="19.5" customHeight="1" thickBot="1">
      <c r="A51" s="3788"/>
      <c r="B51" s="3782"/>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78" t="s">
        <v>2654</v>
      </c>
      <c r="C73" s="3090" t="s">
        <v>2655</v>
      </c>
      <c r="D73" s="3090" t="s">
        <v>2656</v>
      </c>
      <c r="E73" s="3116">
        <v>0.2</v>
      </c>
      <c r="F73" s="3116">
        <v>25</v>
      </c>
    </row>
    <row r="74" spans="1:7" ht="24">
      <c r="A74" s="3116">
        <v>2</v>
      </c>
      <c r="B74" s="3780"/>
      <c r="C74" s="3090" t="s">
        <v>2657</v>
      </c>
      <c r="D74" s="3090" t="s">
        <v>2658</v>
      </c>
      <c r="E74" s="3116">
        <v>0.2</v>
      </c>
      <c r="F74" s="3116">
        <v>25</v>
      </c>
    </row>
    <row r="75" spans="1:7" ht="24">
      <c r="A75" s="3116">
        <v>3</v>
      </c>
      <c r="B75" s="3780"/>
      <c r="C75" s="3090" t="s">
        <v>2659</v>
      </c>
      <c r="D75" s="3090" t="s">
        <v>2660</v>
      </c>
      <c r="E75" s="3116">
        <v>0.2</v>
      </c>
      <c r="F75" s="3116">
        <v>25</v>
      </c>
    </row>
    <row r="76" spans="1:7" ht="13.5">
      <c r="A76" s="3116">
        <v>4</v>
      </c>
      <c r="B76" s="3780"/>
      <c r="C76" s="3090" t="s">
        <v>2661</v>
      </c>
      <c r="D76" s="3090" t="s">
        <v>2662</v>
      </c>
      <c r="E76" s="3116">
        <v>0.15</v>
      </c>
      <c r="F76" s="3116">
        <v>20</v>
      </c>
    </row>
    <row r="77" spans="1:7" ht="24">
      <c r="A77" s="3116">
        <v>5</v>
      </c>
      <c r="B77" s="3780"/>
      <c r="C77" s="3090" t="s">
        <v>2663</v>
      </c>
      <c r="D77" s="3090" t="s">
        <v>2664</v>
      </c>
      <c r="E77" s="3116">
        <v>0.15</v>
      </c>
      <c r="F77" s="3116">
        <v>20</v>
      </c>
    </row>
    <row r="78" spans="1:7" ht="24">
      <c r="A78" s="3116">
        <v>6</v>
      </c>
      <c r="B78" s="3780"/>
      <c r="C78" s="3090" t="s">
        <v>2665</v>
      </c>
      <c r="D78" s="3090" t="s">
        <v>2666</v>
      </c>
      <c r="E78" s="3116">
        <v>0.15</v>
      </c>
      <c r="F78" s="3116">
        <v>20</v>
      </c>
    </row>
    <row r="79" spans="1:7" ht="24">
      <c r="A79" s="3116">
        <v>7</v>
      </c>
      <c r="B79" s="3780"/>
      <c r="C79" s="3090" t="s">
        <v>2667</v>
      </c>
      <c r="D79" s="3090" t="s">
        <v>2668</v>
      </c>
      <c r="E79" s="3116">
        <v>0.15</v>
      </c>
      <c r="F79" s="3116">
        <v>20</v>
      </c>
    </row>
    <row r="80" spans="1:7" ht="24">
      <c r="A80" s="3116">
        <v>8</v>
      </c>
      <c r="B80" s="3780"/>
      <c r="C80" s="3090" t="s">
        <v>2669</v>
      </c>
      <c r="D80" s="3090" t="s">
        <v>2670</v>
      </c>
      <c r="E80" s="3116">
        <v>0.1</v>
      </c>
      <c r="F80" s="3116">
        <v>15</v>
      </c>
    </row>
    <row r="81" spans="1:6" ht="24">
      <c r="A81" s="3116">
        <v>9</v>
      </c>
      <c r="B81" s="3780"/>
      <c r="C81" s="3090" t="s">
        <v>2671</v>
      </c>
      <c r="D81" s="3090" t="s">
        <v>2672</v>
      </c>
      <c r="E81" s="3116">
        <v>0.1</v>
      </c>
      <c r="F81" s="3116">
        <v>15</v>
      </c>
    </row>
    <row r="82" spans="1:6" ht="24">
      <c r="A82" s="3116">
        <v>10</v>
      </c>
      <c r="B82" s="3780"/>
      <c r="C82" s="3090" t="s">
        <v>2673</v>
      </c>
      <c r="D82" s="3090" t="s">
        <v>2674</v>
      </c>
      <c r="E82" s="3116">
        <v>0.1</v>
      </c>
      <c r="F82" s="3116">
        <v>15</v>
      </c>
    </row>
    <row r="83" spans="1:6" ht="24">
      <c r="A83" s="3116">
        <v>11</v>
      </c>
      <c r="B83" s="3780"/>
      <c r="C83" s="3090" t="s">
        <v>2675</v>
      </c>
      <c r="D83" s="3090" t="s">
        <v>2676</v>
      </c>
      <c r="E83" s="3116">
        <v>0.1</v>
      </c>
      <c r="F83" s="3116">
        <v>15</v>
      </c>
    </row>
    <row r="84" spans="1:6" ht="24">
      <c r="A84" s="3116">
        <v>12</v>
      </c>
      <c r="B84" s="3780"/>
      <c r="C84" s="3090" t="s">
        <v>2677</v>
      </c>
      <c r="D84" s="3090" t="s">
        <v>2678</v>
      </c>
      <c r="E84" s="3116">
        <v>0.1</v>
      </c>
      <c r="F84" s="3116">
        <v>15</v>
      </c>
    </row>
    <row r="85" spans="1:6" ht="13.5">
      <c r="A85" s="3116">
        <v>13</v>
      </c>
      <c r="B85" s="3780"/>
      <c r="C85" s="3090" t="s">
        <v>2679</v>
      </c>
      <c r="D85" s="3090" t="s">
        <v>2680</v>
      </c>
      <c r="E85" s="3116">
        <v>0.1</v>
      </c>
      <c r="F85" s="3116">
        <v>15</v>
      </c>
    </row>
    <row r="86" spans="1:6" ht="13.5">
      <c r="A86" s="3116">
        <v>14</v>
      </c>
      <c r="B86" s="3780"/>
      <c r="C86" s="3090" t="s">
        <v>2681</v>
      </c>
      <c r="D86" s="3090" t="s">
        <v>2682</v>
      </c>
      <c r="E86" s="3116">
        <v>0.1</v>
      </c>
      <c r="F86" s="3116">
        <v>15</v>
      </c>
    </row>
    <row r="87" spans="1:6" ht="13.5">
      <c r="A87" s="3116">
        <v>15</v>
      </c>
      <c r="B87" s="3780"/>
      <c r="C87" s="3090" t="s">
        <v>2683</v>
      </c>
      <c r="D87" s="3090" t="s">
        <v>2684</v>
      </c>
      <c r="E87" s="3116">
        <v>0.1</v>
      </c>
      <c r="F87" s="3116">
        <v>15</v>
      </c>
    </row>
    <row r="88" spans="1:6" ht="24">
      <c r="A88" s="3116">
        <v>16</v>
      </c>
      <c r="B88" s="3780"/>
      <c r="C88" s="3090" t="s">
        <v>2685</v>
      </c>
      <c r="D88" s="3090" t="s">
        <v>2686</v>
      </c>
      <c r="E88" s="3116">
        <v>0.1</v>
      </c>
      <c r="F88" s="3116">
        <v>15</v>
      </c>
    </row>
    <row r="89" spans="1:6" ht="24">
      <c r="A89" s="3116">
        <v>17</v>
      </c>
      <c r="B89" s="3779"/>
      <c r="C89" s="3090" t="s">
        <v>2687</v>
      </c>
      <c r="D89" s="3090" t="s">
        <v>2688</v>
      </c>
      <c r="E89" s="3116">
        <v>0.1</v>
      </c>
      <c r="F89" s="3116">
        <v>15</v>
      </c>
    </row>
    <row r="90" spans="1:6" ht="13.5">
      <c r="A90" s="3116">
        <v>18</v>
      </c>
      <c r="B90" s="3778" t="s">
        <v>2689</v>
      </c>
      <c r="C90" s="3090" t="s">
        <v>2690</v>
      </c>
      <c r="D90" s="3090" t="s">
        <v>2691</v>
      </c>
      <c r="E90" s="3116">
        <v>0.2</v>
      </c>
      <c r="F90" s="3116">
        <v>25</v>
      </c>
    </row>
    <row r="91" spans="1:6" ht="24">
      <c r="A91" s="3116">
        <v>19</v>
      </c>
      <c r="B91" s="3780"/>
      <c r="C91" s="3090" t="s">
        <v>2692</v>
      </c>
      <c r="D91" s="3090" t="s">
        <v>2693</v>
      </c>
      <c r="E91" s="3116">
        <v>0.2</v>
      </c>
      <c r="F91" s="3116">
        <v>25</v>
      </c>
    </row>
    <row r="92" spans="1:6" ht="13.5">
      <c r="A92" s="3116">
        <v>20</v>
      </c>
      <c r="B92" s="3780"/>
      <c r="C92" s="3090" t="s">
        <v>2694</v>
      </c>
      <c r="D92" s="3090" t="s">
        <v>2695</v>
      </c>
      <c r="E92" s="3116">
        <v>0.15</v>
      </c>
      <c r="F92" s="3116">
        <v>20</v>
      </c>
    </row>
    <row r="93" spans="1:6" ht="13.5">
      <c r="A93" s="3116">
        <v>21</v>
      </c>
      <c r="B93" s="3780"/>
      <c r="C93" s="3090" t="s">
        <v>2696</v>
      </c>
      <c r="D93" s="3090" t="s">
        <v>2697</v>
      </c>
      <c r="E93" s="3116">
        <v>0.15</v>
      </c>
      <c r="F93" s="3116">
        <v>20</v>
      </c>
    </row>
    <row r="94" spans="1:6" ht="13.5">
      <c r="A94" s="3116">
        <v>22</v>
      </c>
      <c r="B94" s="3780"/>
      <c r="C94" s="3090" t="s">
        <v>2698</v>
      </c>
      <c r="D94" s="3090" t="s">
        <v>2699</v>
      </c>
      <c r="E94" s="3116">
        <v>0.15</v>
      </c>
      <c r="F94" s="3116">
        <v>20</v>
      </c>
    </row>
    <row r="95" spans="1:6" ht="36">
      <c r="A95" s="3116">
        <v>23</v>
      </c>
      <c r="B95" s="3780"/>
      <c r="C95" s="3090" t="s">
        <v>2700</v>
      </c>
      <c r="D95" s="3090" t="s">
        <v>2701</v>
      </c>
      <c r="E95" s="3116">
        <v>0.15</v>
      </c>
      <c r="F95" s="3116">
        <v>20</v>
      </c>
    </row>
    <row r="96" spans="1:6" ht="13.5">
      <c r="A96" s="3116">
        <v>24</v>
      </c>
      <c r="B96" s="3780"/>
      <c r="C96" s="3090" t="s">
        <v>2702</v>
      </c>
      <c r="D96" s="3090" t="s">
        <v>2703</v>
      </c>
      <c r="E96" s="3116">
        <v>0.1</v>
      </c>
      <c r="F96" s="3116">
        <v>15</v>
      </c>
    </row>
    <row r="97" spans="1:6" ht="13.5">
      <c r="A97" s="3116">
        <v>25</v>
      </c>
      <c r="B97" s="3780"/>
      <c r="C97" s="3090" t="s">
        <v>2704</v>
      </c>
      <c r="D97" s="3090" t="s">
        <v>2705</v>
      </c>
      <c r="E97" s="3116">
        <v>0.1</v>
      </c>
      <c r="F97" s="3116">
        <v>15</v>
      </c>
    </row>
    <row r="98" spans="1:6" ht="24">
      <c r="A98" s="3116">
        <v>26</v>
      </c>
      <c r="B98" s="3780"/>
      <c r="C98" s="3090" t="s">
        <v>2706</v>
      </c>
      <c r="D98" s="3090" t="s">
        <v>2707</v>
      </c>
      <c r="E98" s="3116">
        <v>0.1</v>
      </c>
      <c r="F98" s="3116">
        <v>15</v>
      </c>
    </row>
    <row r="99" spans="1:6" ht="24">
      <c r="A99" s="3116">
        <v>27</v>
      </c>
      <c r="B99" s="3780"/>
      <c r="C99" s="3090" t="s">
        <v>2708</v>
      </c>
      <c r="D99" s="3090" t="s">
        <v>2709</v>
      </c>
      <c r="E99" s="3116">
        <v>0.1</v>
      </c>
      <c r="F99" s="3116">
        <v>15</v>
      </c>
    </row>
    <row r="100" spans="1:6" ht="13.5">
      <c r="A100" s="3116">
        <v>28</v>
      </c>
      <c r="B100" s="3780"/>
      <c r="C100" s="3090" t="s">
        <v>2710</v>
      </c>
      <c r="D100" s="3090" t="s">
        <v>2711</v>
      </c>
      <c r="E100" s="3116">
        <v>0.1</v>
      </c>
      <c r="F100" s="3116">
        <v>15</v>
      </c>
    </row>
    <row r="101" spans="1:6" ht="13.5">
      <c r="A101" s="3116">
        <v>29</v>
      </c>
      <c r="B101" s="3780"/>
      <c r="C101" s="3090" t="s">
        <v>2712</v>
      </c>
      <c r="D101" s="3090" t="s">
        <v>2713</v>
      </c>
      <c r="E101" s="3116">
        <v>0.1</v>
      </c>
      <c r="F101" s="3116">
        <v>15</v>
      </c>
    </row>
    <row r="102" spans="1:6" ht="13.5">
      <c r="A102" s="3116">
        <v>30</v>
      </c>
      <c r="B102" s="3780"/>
      <c r="C102" s="3090" t="s">
        <v>2714</v>
      </c>
      <c r="D102" s="3090" t="s">
        <v>2715</v>
      </c>
      <c r="E102" s="3116">
        <v>0.1</v>
      </c>
      <c r="F102" s="3116">
        <v>15</v>
      </c>
    </row>
    <row r="103" spans="1:6" ht="24">
      <c r="A103" s="3116">
        <v>31</v>
      </c>
      <c r="B103" s="3780"/>
      <c r="C103" s="3090" t="s">
        <v>2716</v>
      </c>
      <c r="D103" s="3090" t="s">
        <v>2717</v>
      </c>
      <c r="E103" s="3116">
        <v>0.1</v>
      </c>
      <c r="F103" s="3116">
        <v>15</v>
      </c>
    </row>
    <row r="104" spans="1:6" ht="24">
      <c r="A104" s="3116">
        <v>32</v>
      </c>
      <c r="B104" s="3780"/>
      <c r="C104" s="3090" t="s">
        <v>2718</v>
      </c>
      <c r="D104" s="3090" t="s">
        <v>2719</v>
      </c>
      <c r="E104" s="3116">
        <v>0.1</v>
      </c>
      <c r="F104" s="3116">
        <v>15</v>
      </c>
    </row>
    <row r="105" spans="1:6" ht="24">
      <c r="A105" s="3116">
        <v>33</v>
      </c>
      <c r="B105" s="3780"/>
      <c r="C105" s="3090" t="s">
        <v>2720</v>
      </c>
      <c r="D105" s="3090" t="s">
        <v>2721</v>
      </c>
      <c r="E105" s="3116">
        <v>0.1</v>
      </c>
      <c r="F105" s="3116">
        <v>15</v>
      </c>
    </row>
    <row r="106" spans="1:6" ht="24">
      <c r="A106" s="3116">
        <v>34</v>
      </c>
      <c r="B106" s="3779"/>
      <c r="C106" s="3090" t="s">
        <v>2722</v>
      </c>
      <c r="D106" s="3090" t="s">
        <v>2723</v>
      </c>
      <c r="E106" s="3116">
        <v>0.1</v>
      </c>
      <c r="F106" s="3116">
        <v>15</v>
      </c>
    </row>
    <row r="107" spans="1:6" ht="24">
      <c r="A107" s="3116">
        <v>35</v>
      </c>
      <c r="B107" s="3778" t="s">
        <v>2724</v>
      </c>
      <c r="C107" s="3116" t="s">
        <v>2725</v>
      </c>
      <c r="D107" s="3090" t="s">
        <v>2726</v>
      </c>
      <c r="E107" s="3116">
        <v>0.15</v>
      </c>
      <c r="F107" s="3116">
        <v>20</v>
      </c>
    </row>
    <row r="108" spans="1:6" ht="13.5">
      <c r="A108" s="3116">
        <v>36</v>
      </c>
      <c r="B108" s="3780"/>
      <c r="C108" s="3116" t="s">
        <v>2727</v>
      </c>
      <c r="D108" s="3090" t="s">
        <v>2728</v>
      </c>
      <c r="E108" s="3116">
        <v>0.15</v>
      </c>
      <c r="F108" s="3116">
        <v>20</v>
      </c>
    </row>
    <row r="109" spans="1:6" ht="13.5">
      <c r="A109" s="3116">
        <v>37</v>
      </c>
      <c r="B109" s="3780"/>
      <c r="C109" s="3116" t="s">
        <v>2729</v>
      </c>
      <c r="D109" s="3090" t="s">
        <v>2730</v>
      </c>
      <c r="E109" s="3116">
        <v>0.15</v>
      </c>
      <c r="F109" s="3116">
        <v>20</v>
      </c>
    </row>
    <row r="110" spans="1:6" ht="13.5">
      <c r="A110" s="3116">
        <v>38</v>
      </c>
      <c r="B110" s="3780"/>
      <c r="C110" s="3116" t="s">
        <v>2731</v>
      </c>
      <c r="D110" s="3090" t="s">
        <v>2732</v>
      </c>
      <c r="E110" s="3116">
        <v>0.1</v>
      </c>
      <c r="F110" s="3116">
        <v>15</v>
      </c>
    </row>
    <row r="111" spans="1:6" ht="24">
      <c r="A111" s="3116">
        <v>39</v>
      </c>
      <c r="B111" s="3780"/>
      <c r="C111" s="3116" t="s">
        <v>2733</v>
      </c>
      <c r="D111" s="3090" t="s">
        <v>2734</v>
      </c>
      <c r="E111" s="3116">
        <v>0.1</v>
      </c>
      <c r="F111" s="3116">
        <v>15</v>
      </c>
    </row>
    <row r="112" spans="1:6" ht="24">
      <c r="A112" s="3116">
        <v>40</v>
      </c>
      <c r="B112" s="3779"/>
      <c r="C112" s="3116" t="s">
        <v>2735</v>
      </c>
      <c r="D112" s="3090" t="s">
        <v>2736</v>
      </c>
      <c r="E112" s="3116">
        <v>0.1</v>
      </c>
      <c r="F112" s="3116">
        <v>15</v>
      </c>
    </row>
    <row r="113" spans="1:6" ht="13.5">
      <c r="A113" s="3116">
        <v>41</v>
      </c>
      <c r="B113" s="3777" t="s">
        <v>2737</v>
      </c>
      <c r="C113" s="3116" t="s">
        <v>2738</v>
      </c>
      <c r="D113" s="3090" t="s">
        <v>2739</v>
      </c>
      <c r="E113" s="3116">
        <v>0.1</v>
      </c>
      <c r="F113" s="3116">
        <v>15</v>
      </c>
    </row>
    <row r="114" spans="1:6" ht="13.5">
      <c r="A114" s="3116">
        <v>42</v>
      </c>
      <c r="B114" s="3777"/>
      <c r="C114" s="3116" t="s">
        <v>2740</v>
      </c>
      <c r="D114" s="3090" t="s">
        <v>2741</v>
      </c>
      <c r="E114" s="3116">
        <v>0.1</v>
      </c>
      <c r="F114" s="3116">
        <v>15</v>
      </c>
    </row>
    <row r="115" spans="1:6" ht="24">
      <c r="A115" s="3116">
        <v>43</v>
      </c>
      <c r="B115" s="3777"/>
      <c r="C115" s="3116" t="s">
        <v>2742</v>
      </c>
      <c r="D115" s="3090" t="s">
        <v>2743</v>
      </c>
      <c r="E115" s="3116">
        <v>0.1</v>
      </c>
      <c r="F115" s="3116">
        <v>15</v>
      </c>
    </row>
    <row r="116" spans="1:6" ht="13.5">
      <c r="A116" s="3116">
        <v>44</v>
      </c>
      <c r="B116" s="3778" t="s">
        <v>2744</v>
      </c>
      <c r="C116" s="3116" t="s">
        <v>2745</v>
      </c>
      <c r="D116" s="3090" t="s">
        <v>2746</v>
      </c>
      <c r="E116" s="3116">
        <v>0.1</v>
      </c>
      <c r="F116" s="3116">
        <v>15</v>
      </c>
    </row>
    <row r="117" spans="1:6" ht="24">
      <c r="A117" s="3116">
        <v>45</v>
      </c>
      <c r="B117" s="3779"/>
      <c r="C117" s="3090" t="s">
        <v>2747</v>
      </c>
      <c r="D117" s="3090" t="s">
        <v>2748</v>
      </c>
      <c r="E117" s="3116">
        <v>0.1</v>
      </c>
      <c r="F117" s="3116">
        <v>15</v>
      </c>
    </row>
    <row r="118" spans="1:6" ht="24">
      <c r="A118" s="3116">
        <v>46</v>
      </c>
      <c r="B118" s="3778" t="s">
        <v>2749</v>
      </c>
      <c r="C118" s="3116" t="s">
        <v>2750</v>
      </c>
      <c r="D118" s="3090" t="s">
        <v>2751</v>
      </c>
      <c r="E118" s="3116">
        <v>0.1</v>
      </c>
      <c r="F118" s="3116">
        <v>15</v>
      </c>
    </row>
    <row r="119" spans="1:6" ht="24">
      <c r="A119" s="3116">
        <v>47</v>
      </c>
      <c r="B119" s="3779"/>
      <c r="C119" s="3116" t="s">
        <v>2752</v>
      </c>
      <c r="D119" s="3090" t="s">
        <v>2753</v>
      </c>
      <c r="E119" s="3116">
        <v>0.1</v>
      </c>
      <c r="F119" s="3116">
        <v>15</v>
      </c>
    </row>
    <row r="120" spans="1:6" ht="13.5">
      <c r="A120" s="3116">
        <v>48</v>
      </c>
      <c r="B120" s="3778" t="s">
        <v>2754</v>
      </c>
      <c r="C120" s="3116" t="s">
        <v>2755</v>
      </c>
      <c r="D120" s="3090" t="s">
        <v>2756</v>
      </c>
      <c r="E120" s="3116">
        <v>0.1</v>
      </c>
      <c r="F120" s="3116">
        <v>15</v>
      </c>
    </row>
    <row r="121" spans="1:6" ht="13.5">
      <c r="A121" s="3116">
        <v>49</v>
      </c>
      <c r="B121" s="3779"/>
      <c r="C121" s="3116" t="s">
        <v>2757</v>
      </c>
      <c r="D121" s="3090" t="s">
        <v>2758</v>
      </c>
      <c r="E121" s="3116">
        <v>0.1</v>
      </c>
      <c r="F121" s="3116">
        <v>15</v>
      </c>
    </row>
    <row r="122" spans="1:6" ht="24">
      <c r="A122" s="3116">
        <v>50</v>
      </c>
      <c r="B122" s="3777" t="s">
        <v>2759</v>
      </c>
      <c r="C122" s="3116" t="s">
        <v>2760</v>
      </c>
      <c r="D122" s="3090" t="s">
        <v>2761</v>
      </c>
      <c r="E122" s="3116">
        <v>0.1</v>
      </c>
      <c r="F122" s="3116">
        <v>15</v>
      </c>
    </row>
    <row r="123" spans="1:6" ht="24">
      <c r="A123" s="3116">
        <v>51</v>
      </c>
      <c r="B123" s="3777"/>
      <c r="C123" s="3116" t="s">
        <v>2762</v>
      </c>
      <c r="D123" s="3090" t="s">
        <v>2763</v>
      </c>
      <c r="E123" s="3116">
        <v>0.1</v>
      </c>
      <c r="F123" s="3116">
        <v>15</v>
      </c>
    </row>
    <row r="124" spans="1:6" ht="24">
      <c r="A124" s="3116">
        <v>52</v>
      </c>
      <c r="B124" s="3777" t="s">
        <v>2764</v>
      </c>
      <c r="C124" s="3116" t="s">
        <v>2765</v>
      </c>
      <c r="D124" s="3090" t="s">
        <v>2766</v>
      </c>
      <c r="E124" s="3116">
        <v>0.1</v>
      </c>
      <c r="F124" s="3116">
        <v>15</v>
      </c>
    </row>
    <row r="125" spans="1:6" ht="24">
      <c r="A125" s="3116">
        <v>53</v>
      </c>
      <c r="B125" s="3777"/>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77" t="s">
        <v>2772</v>
      </c>
      <c r="C127" s="3116" t="s">
        <v>2773</v>
      </c>
      <c r="D127" s="3090" t="s">
        <v>2774</v>
      </c>
      <c r="E127" s="3116">
        <v>0.1</v>
      </c>
      <c r="F127" s="3116">
        <v>15</v>
      </c>
    </row>
    <row r="128" spans="1:6" ht="13.5">
      <c r="A128" s="3116">
        <v>56</v>
      </c>
      <c r="B128" s="3777"/>
      <c r="C128" s="3116" t="s">
        <v>2775</v>
      </c>
      <c r="D128" s="3090" t="s">
        <v>2776</v>
      </c>
      <c r="E128" s="3116">
        <v>0.1</v>
      </c>
      <c r="F128" s="3116">
        <v>15</v>
      </c>
    </row>
    <row r="129" spans="1:6" ht="24">
      <c r="A129" s="3116">
        <v>57</v>
      </c>
      <c r="B129" s="3777"/>
      <c r="C129" s="3116" t="s">
        <v>2777</v>
      </c>
      <c r="D129" s="3090" t="s">
        <v>2778</v>
      </c>
      <c r="E129" s="3116">
        <v>0.1</v>
      </c>
      <c r="F129" s="3116">
        <v>15</v>
      </c>
    </row>
    <row r="130" spans="1:6" ht="24">
      <c r="A130" s="3116">
        <v>58</v>
      </c>
      <c r="B130" s="3777" t="s">
        <v>2779</v>
      </c>
      <c r="C130" s="3116" t="s">
        <v>2780</v>
      </c>
      <c r="D130" s="3090" t="s">
        <v>2781</v>
      </c>
      <c r="E130" s="3116">
        <v>0.1</v>
      </c>
      <c r="F130" s="3116">
        <v>15</v>
      </c>
    </row>
    <row r="131" spans="1:6" ht="13.5">
      <c r="A131" s="3116">
        <v>59</v>
      </c>
      <c r="B131" s="3777"/>
      <c r="C131" s="3116" t="s">
        <v>2782</v>
      </c>
      <c r="D131" s="3090" t="s">
        <v>2783</v>
      </c>
      <c r="E131" s="3116">
        <v>0.1</v>
      </c>
      <c r="F131" s="3116">
        <v>15</v>
      </c>
    </row>
    <row r="132" spans="1:6" ht="13.5">
      <c r="A132" s="3116">
        <v>60</v>
      </c>
      <c r="B132" s="3778" t="s">
        <v>2784</v>
      </c>
      <c r="C132" s="3116" t="s">
        <v>2785</v>
      </c>
      <c r="D132" s="3090" t="s">
        <v>2786</v>
      </c>
      <c r="E132" s="3116">
        <v>0.1</v>
      </c>
      <c r="F132" s="3116">
        <v>15</v>
      </c>
    </row>
    <row r="133" spans="1:6" ht="13.5">
      <c r="A133" s="3116">
        <v>61</v>
      </c>
      <c r="B133" s="3779"/>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77" t="s">
        <v>2792</v>
      </c>
      <c r="C135" s="3116" t="s">
        <v>2793</v>
      </c>
      <c r="D135" s="3090" t="s">
        <v>2794</v>
      </c>
      <c r="E135" s="3116">
        <v>0.1</v>
      </c>
      <c r="F135" s="3116">
        <v>15</v>
      </c>
    </row>
    <row r="136" spans="1:6" ht="13.5">
      <c r="A136" s="3116">
        <v>64</v>
      </c>
      <c r="B136" s="3777"/>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2801</v>
      </c>
      <c r="B1" s="3125"/>
      <c r="C1" s="3125"/>
      <c r="D1" s="3125"/>
      <c r="E1" s="3125"/>
      <c r="F1" s="3125"/>
      <c r="G1" s="3125"/>
      <c r="H1" s="3125"/>
      <c r="I1" s="3125"/>
      <c r="J1" s="3125"/>
      <c r="K1" s="3125"/>
      <c r="L1" s="3125"/>
      <c r="M1" s="3125"/>
      <c r="N1" s="749"/>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50">
        <f>SUMPRODUCT((A95:A184=ROUNDDOWN(基准地价修正!G3,1))*(B94:M94=基准地价修正!G2)*(B95:M184))</f>
        <v>1.2158</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50">
        <f>SUMPRODUCT((A371:A460=ROUNDDOWN(基准地价修正!G3,1))*(B370:M370=基准地价修正!G2)*(B371:M460))</f>
        <v>1.1565000000000001</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29588</v>
      </c>
      <c r="C2" s="2" t="s">
        <v>106</v>
      </c>
      <c r="D2" s="199"/>
      <c r="E2" s="199"/>
      <c r="F2" s="199"/>
      <c r="G2" s="199"/>
    </row>
    <row r="3" spans="1:7" s="200" customFormat="1" ht="18" customHeight="1" thickBot="1">
      <c r="A3" s="203" t="s">
        <v>58</v>
      </c>
      <c r="B3" s="204">
        <f ca="1">ROUND(B2*10000/'数据-汇总表'!E3,0)</f>
        <v>6035904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49.02</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49.02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29568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20</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49.02</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2" t="s">
        <v>94</v>
      </c>
    </row>
    <row r="43" spans="1:7" ht="13.5" customHeight="1">
      <c r="A43" s="780" t="s">
        <v>347</v>
      </c>
      <c r="B43" s="215" t="s">
        <v>426</v>
      </c>
      <c r="C43" s="238">
        <f ca="1">ROUND(IF('数据-取费表'!B22&lt;=1,C39*F22*'数据-取费表'!B21/2,C39*(POWER((1+F22),'数据-取费表'!B21/2)-1)),0)</f>
        <v>0</v>
      </c>
      <c r="D43" s="238"/>
      <c r="E43" s="238"/>
      <c r="F43" s="239"/>
      <c r="G43" s="3653"/>
    </row>
    <row r="44" spans="1:7" ht="13.5" customHeight="1">
      <c r="A44" s="780" t="s">
        <v>348</v>
      </c>
      <c r="B44" s="215" t="s">
        <v>428</v>
      </c>
      <c r="C44" s="238">
        <f ca="1">ROUND(IF('数据-取费表'!B22&lt;=1,C40*F22*'数据-取费表'!B21/2,C40*(POWER((1+F22),'数据-取费表'!B21/2)-1)),4)</f>
        <v>1E-3</v>
      </c>
      <c r="D44" s="238"/>
      <c r="E44" s="238"/>
      <c r="F44" s="239"/>
      <c r="G44" s="3654"/>
    </row>
    <row r="45" spans="1:7" s="214" customFormat="1" ht="13.5" customHeight="1">
      <c r="A45" s="777" t="s">
        <v>341</v>
      </c>
      <c r="B45" s="244" t="s">
        <v>85</v>
      </c>
      <c r="C45" s="245">
        <f>C46</f>
        <v>5</v>
      </c>
      <c r="D45" s="235">
        <f>C47</f>
        <v>4.0000000000000001E-3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31</v>
      </c>
      <c r="D49" s="232"/>
      <c r="E49" s="232"/>
      <c r="F49" s="264"/>
      <c r="G49" s="234" t="s">
        <v>435</v>
      </c>
    </row>
    <row r="50" spans="1:7" s="258" customFormat="1" ht="24">
      <c r="A50" s="777" t="s">
        <v>344</v>
      </c>
      <c r="B50" s="210" t="s">
        <v>97</v>
      </c>
      <c r="C50" s="232"/>
      <c r="D50" s="232"/>
      <c r="E50" s="232"/>
      <c r="F50" s="264">
        <f>IF('数据-取费表'!B24=0,'数据-取费表'!N16,1)</f>
        <v>0.63500000000000001</v>
      </c>
      <c r="G50" s="247" t="s">
        <v>98</v>
      </c>
    </row>
    <row r="51" spans="1:7" ht="16.5" customHeight="1">
      <c r="A51" s="777" t="s">
        <v>345</v>
      </c>
      <c r="B51" s="210" t="s">
        <v>105</v>
      </c>
      <c r="C51" s="232">
        <f ca="1">ROUND(C49*F50,0)</f>
        <v>20</v>
      </c>
      <c r="D51" s="232"/>
      <c r="E51" s="232"/>
      <c r="F51" s="264"/>
      <c r="G51" s="234" t="s">
        <v>37</v>
      </c>
    </row>
    <row r="52" spans="1:7" s="208" customFormat="1" ht="16.5" thickBot="1">
      <c r="A52" s="265" t="s">
        <v>38</v>
      </c>
      <c r="B52" s="266"/>
      <c r="C52" s="267">
        <f ca="1">C31+C51</f>
        <v>29588</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估价结果一览表（市场价值不需“结果表-1”）</v>
      </c>
      <c r="B3" s="3475"/>
      <c r="C3" s="3475"/>
      <c r="D3" s="3475"/>
      <c r="E3" s="3475"/>
    </row>
    <row r="4" spans="1:5" ht="19.5" thickBot="1">
      <c r="A4" s="1493"/>
      <c r="B4" s="3473" t="s">
        <v>917</v>
      </c>
      <c r="C4" s="3473"/>
      <c r="D4" s="3473"/>
      <c r="E4" s="1493"/>
    </row>
    <row r="5" spans="1:5" ht="16.5" thickTop="1">
      <c r="A5" s="1491"/>
      <c r="B5" s="3471" t="s">
        <v>909</v>
      </c>
      <c r="C5" s="1494" t="s">
        <v>910</v>
      </c>
      <c r="D5" s="850" t="e">
        <f ca="1">结果表!H101</f>
        <v>#REF!</v>
      </c>
      <c r="E5" s="1491"/>
    </row>
    <row r="6" spans="1:5" ht="15.75">
      <c r="A6" s="1491"/>
      <c r="B6" s="3471"/>
      <c r="C6" s="1494" t="s">
        <v>911</v>
      </c>
      <c r="D6" s="850" t="e">
        <f ca="1">NUMBERSTRING(INT(D5*10000),2)&amp;"元整"</f>
        <v>#REF!</v>
      </c>
      <c r="E6" s="1491"/>
    </row>
    <row r="7" spans="1:5" ht="15.75">
      <c r="A7" s="1491"/>
      <c r="B7" s="3476"/>
      <c r="C7" s="1495" t="s">
        <v>912</v>
      </c>
      <c r="D7" s="851" t="e">
        <f ca="1">结果表!H102</f>
        <v>#REF!</v>
      </c>
      <c r="E7" s="1491"/>
    </row>
    <row r="8" spans="1:5" ht="15.75">
      <c r="A8" s="1491"/>
      <c r="B8" s="3477" t="str">
        <f>结果表!E103</f>
        <v>2.估价师知悉的法定优先受偿款</v>
      </c>
      <c r="C8" s="1496" t="s">
        <v>913</v>
      </c>
      <c r="D8" s="851">
        <f>结果表!H103</f>
        <v>0</v>
      </c>
      <c r="E8" s="1491"/>
    </row>
    <row r="9" spans="1:5" ht="15.75">
      <c r="A9" s="1491"/>
      <c r="B9" s="347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0" t="str">
        <f>结果表!E107</f>
        <v>3.房地产抵押价值</v>
      </c>
      <c r="C13" s="1499" t="s">
        <v>910</v>
      </c>
      <c r="D13" s="853" t="e">
        <f ca="1">结果表!H107</f>
        <v>#REF!</v>
      </c>
      <c r="E13" s="1491"/>
    </row>
    <row r="14" spans="1:5" ht="15.75">
      <c r="A14" s="1491"/>
      <c r="B14" s="3471"/>
      <c r="C14" s="1494" t="s">
        <v>911</v>
      </c>
      <c r="D14" s="850" t="e">
        <f ca="1">NUMBERSTRING(INT(D13*10000),2)&amp;"元整"</f>
        <v>#REF!</v>
      </c>
      <c r="E14" s="1491"/>
    </row>
    <row r="15" spans="1:5" ht="15">
      <c r="A15" s="1491"/>
      <c r="B15" s="3476"/>
      <c r="C15" s="1495" t="s">
        <v>921</v>
      </c>
      <c r="D15" s="859" t="e">
        <f ca="1">结果表!H108</f>
        <v>#REF!</v>
      </c>
      <c r="E15" s="1491"/>
    </row>
    <row r="16" spans="1:5" ht="15">
      <c r="A16" s="1491"/>
      <c r="B16" s="3477" t="str">
        <f>结果表!E109</f>
        <v>——</v>
      </c>
      <c r="C16" s="1499" t="s">
        <v>922</v>
      </c>
      <c r="D16" s="1500" t="str">
        <f>结果表!H109</f>
        <v>——</v>
      </c>
      <c r="E16" s="1491"/>
    </row>
    <row r="17" spans="1:5" ht="15.75">
      <c r="A17" s="1491"/>
      <c r="B17" s="3478"/>
      <c r="C17" s="1494" t="s">
        <v>923</v>
      </c>
      <c r="D17" s="850" t="e">
        <f>NUMBERSTRING(INT(D16*10000),2)&amp;"元整"</f>
        <v>#VALUE!</v>
      </c>
      <c r="E17" s="1491"/>
    </row>
    <row r="18" spans="1:5" ht="15">
      <c r="A18" s="1491"/>
      <c r="B18" s="3479"/>
      <c r="C18" s="1495" t="s">
        <v>912</v>
      </c>
      <c r="D18" s="859" t="str">
        <f>结果表!H110</f>
        <v>——</v>
      </c>
      <c r="E18" s="1491"/>
    </row>
    <row r="19" spans="1:5" ht="15.75">
      <c r="A19" s="1491"/>
      <c r="B19" s="3470" t="str">
        <f>结果表!E111</f>
        <v>——</v>
      </c>
      <c r="C19" s="1499" t="s">
        <v>910</v>
      </c>
      <c r="D19" s="851" t="str">
        <f>结果表!H111</f>
        <v>——</v>
      </c>
      <c r="E19" s="1491"/>
    </row>
    <row r="20" spans="1:5" ht="15.75">
      <c r="A20" s="1491"/>
      <c r="B20" s="3471"/>
      <c r="C20" s="1494" t="s">
        <v>923</v>
      </c>
      <c r="D20" s="850" t="e">
        <f>NUMBERSTRING(INT(D19*10000),2)&amp;"元整"</f>
        <v>#VALUE!</v>
      </c>
      <c r="E20" s="1491"/>
    </row>
    <row r="21" spans="1:5" ht="15.75" thickBot="1">
      <c r="A21" s="1491"/>
      <c r="B21" s="347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1" t="s">
        <v>2844</v>
      </c>
      <c r="B1" s="3791"/>
      <c r="C1" s="3791"/>
      <c r="D1" s="3791"/>
      <c r="E1" s="3791"/>
      <c r="F1" s="3791"/>
      <c r="G1" s="3792"/>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89"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90"/>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3" t="s">
        <v>3186</v>
      </c>
      <c r="B1" s="3793"/>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8"/>
  </cols>
  <sheetData>
    <row r="1" spans="1:6" ht="15">
      <c r="A1" s="3794" t="s">
        <v>3237</v>
      </c>
      <c r="B1" s="3794"/>
      <c r="C1" s="3794"/>
      <c r="D1" s="3794"/>
      <c r="E1" s="3794"/>
      <c r="F1" s="3795"/>
    </row>
    <row r="2" spans="1:6" ht="15">
      <c r="A2" s="3289" t="s">
        <v>3238</v>
      </c>
      <c r="B2" s="3290"/>
      <c r="C2" s="3290"/>
      <c r="D2" s="3290"/>
      <c r="E2" s="3290"/>
      <c r="F2" s="3290"/>
    </row>
    <row r="3" spans="1:6" ht="15">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9">
        <f>基准地价修正!G23</f>
        <v>45052</v>
      </c>
      <c r="B1" s="3208" t="s">
        <v>2843</v>
      </c>
      <c r="C1" s="3209"/>
      <c r="D1" s="3209"/>
      <c r="E1" s="3209"/>
      <c r="F1" s="3209"/>
      <c r="G1" s="3209"/>
      <c r="H1" s="3209"/>
      <c r="I1" s="3209"/>
      <c r="J1" s="3163"/>
      <c r="K1" s="3209" t="s">
        <v>454</v>
      </c>
      <c r="L1" s="3209"/>
      <c r="M1" s="3209"/>
      <c r="N1" s="3209"/>
      <c r="O1" s="3209"/>
      <c r="P1" s="3209"/>
      <c r="Q1" s="3163"/>
      <c r="R1" s="3796" t="s">
        <v>456</v>
      </c>
      <c r="S1" s="3797"/>
      <c r="T1" s="3797"/>
      <c r="U1" s="3797"/>
      <c r="V1" s="3797"/>
      <c r="W1" s="3797"/>
      <c r="X1" s="3163"/>
      <c r="Y1" s="3796" t="s">
        <v>457</v>
      </c>
      <c r="Z1" s="3797"/>
      <c r="AA1" s="3797"/>
      <c r="AB1" s="3797"/>
      <c r="AC1" s="3797"/>
      <c r="AD1" s="3797"/>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3372</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3375</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3370</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96" t="s">
        <v>2831</v>
      </c>
      <c r="S21" s="3797"/>
      <c r="T21" s="3797"/>
      <c r="U21" s="3797"/>
      <c r="V21" s="3797"/>
      <c r="W21" s="3797"/>
      <c r="X21" s="3163"/>
      <c r="Y21" s="3796" t="s">
        <v>2832</v>
      </c>
      <c r="Z21" s="3797"/>
      <c r="AA21" s="3797"/>
      <c r="AB21" s="3797"/>
      <c r="AC21" s="3797"/>
      <c r="AD21" s="3797"/>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3372</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3375</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0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45052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2313</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AE3E9-2595-4169-9B14-5BEC2F59EC39}">
  <sheetPr codeName="Sheet1"/>
  <dimension ref="A2:N25"/>
  <sheetViews>
    <sheetView workbookViewId="0">
      <selection activeCell="J3" sqref="J3"/>
    </sheetView>
  </sheetViews>
  <sheetFormatPr defaultRowHeight="13.5"/>
  <cols>
    <col min="1" max="1" width="9.75" bestFit="1" customWidth="1"/>
    <col min="3" max="3" width="9.75" bestFit="1" customWidth="1"/>
    <col min="13" max="13" width="15.625" bestFit="1" customWidth="1"/>
  </cols>
  <sheetData>
    <row r="2" spans="1:14">
      <c r="A2" s="3448" t="s">
        <v>3377</v>
      </c>
      <c r="B2" s="3448" t="s">
        <v>3378</v>
      </c>
      <c r="C2" s="3448" t="s">
        <v>3379</v>
      </c>
      <c r="D2" s="3448" t="s">
        <v>3380</v>
      </c>
      <c r="E2" s="3448" t="s">
        <v>3381</v>
      </c>
      <c r="F2" s="3448" t="s">
        <v>3382</v>
      </c>
      <c r="G2" s="3448" t="s">
        <v>3383</v>
      </c>
      <c r="H2" s="3448" t="s">
        <v>3384</v>
      </c>
      <c r="I2" s="3448" t="s">
        <v>3385</v>
      </c>
      <c r="J2" s="3448" t="s">
        <v>3386</v>
      </c>
      <c r="K2" s="3448" t="s">
        <v>3387</v>
      </c>
      <c r="L2" s="3448" t="s">
        <v>3388</v>
      </c>
      <c r="M2" s="3448" t="s">
        <v>3389</v>
      </c>
    </row>
    <row r="3" spans="1:14" ht="40.5">
      <c r="A3" s="3459" t="s">
        <v>3436</v>
      </c>
      <c r="B3" s="3459" t="s">
        <v>3391</v>
      </c>
      <c r="C3" s="3459" t="s">
        <v>3395</v>
      </c>
      <c r="D3" s="3459">
        <v>49.02</v>
      </c>
      <c r="E3" s="3459" t="s">
        <v>3393</v>
      </c>
      <c r="F3" s="3459">
        <v>18</v>
      </c>
      <c r="G3" s="3459">
        <v>7</v>
      </c>
      <c r="H3" s="3459" t="s">
        <v>3437</v>
      </c>
      <c r="I3" s="3460">
        <v>1998</v>
      </c>
      <c r="J3" s="3459">
        <v>67319</v>
      </c>
      <c r="K3" s="3459">
        <v>64046</v>
      </c>
      <c r="L3" s="3459">
        <v>3139535</v>
      </c>
      <c r="M3" s="3461">
        <v>45053</v>
      </c>
      <c r="N3" s="3462"/>
    </row>
    <row r="4" spans="1:14" ht="40.5">
      <c r="A4" s="3459" t="s">
        <v>3438</v>
      </c>
      <c r="B4" s="3459" t="s">
        <v>3391</v>
      </c>
      <c r="C4" s="3459" t="s">
        <v>3392</v>
      </c>
      <c r="D4" s="3459">
        <v>79.78</v>
      </c>
      <c r="E4" s="3459" t="s">
        <v>3393</v>
      </c>
      <c r="F4" s="3459">
        <v>18</v>
      </c>
      <c r="G4" s="3459">
        <v>8</v>
      </c>
      <c r="H4" s="3459" t="s">
        <v>633</v>
      </c>
      <c r="I4" s="3459">
        <v>1998</v>
      </c>
      <c r="J4" s="3459">
        <v>67686</v>
      </c>
      <c r="K4" s="3459">
        <v>64489</v>
      </c>
      <c r="L4" s="3459">
        <v>5144932</v>
      </c>
      <c r="M4" s="3461">
        <v>45041</v>
      </c>
      <c r="N4" s="3462"/>
    </row>
    <row r="5" spans="1:14" ht="40.5">
      <c r="A5" s="3463" t="s">
        <v>3390</v>
      </c>
      <c r="B5" s="3463" t="s">
        <v>3391</v>
      </c>
      <c r="C5" s="3463" t="s">
        <v>3392</v>
      </c>
      <c r="D5" s="3463">
        <v>49.02</v>
      </c>
      <c r="E5" s="3463" t="s">
        <v>3393</v>
      </c>
      <c r="F5" s="3463">
        <v>18</v>
      </c>
      <c r="G5" s="3463">
        <v>17</v>
      </c>
      <c r="H5" s="3463" t="s">
        <v>633</v>
      </c>
      <c r="I5" s="3463">
        <v>1998</v>
      </c>
      <c r="J5" s="3463">
        <v>67319</v>
      </c>
      <c r="K5" s="3463">
        <v>65861</v>
      </c>
      <c r="L5" s="3463">
        <v>3228506</v>
      </c>
      <c r="M5" s="3464">
        <v>45034</v>
      </c>
      <c r="N5" s="3462"/>
    </row>
    <row r="6" spans="1:14" ht="40.5">
      <c r="A6" s="3449" t="s">
        <v>3394</v>
      </c>
      <c r="B6" s="3449" t="s">
        <v>3391</v>
      </c>
      <c r="C6" s="3449" t="s">
        <v>3395</v>
      </c>
      <c r="D6" s="3449">
        <v>91.11</v>
      </c>
      <c r="E6" s="3449" t="s">
        <v>3393</v>
      </c>
      <c r="F6" s="3449">
        <v>18</v>
      </c>
      <c r="G6" s="3449">
        <v>18</v>
      </c>
      <c r="H6" s="3449">
        <v>1998</v>
      </c>
      <c r="I6" s="3449" t="s">
        <v>633</v>
      </c>
      <c r="J6" s="3449">
        <v>59928</v>
      </c>
      <c r="K6" s="3449">
        <v>58218</v>
      </c>
      <c r="L6" s="3449">
        <v>5304242</v>
      </c>
      <c r="M6" s="3450">
        <v>45022</v>
      </c>
    </row>
    <row r="7" spans="1:14" ht="40.5">
      <c r="A7" s="3449" t="s">
        <v>3396</v>
      </c>
      <c r="B7" s="3456" t="s">
        <v>3391</v>
      </c>
      <c r="C7" s="3456" t="s">
        <v>3397</v>
      </c>
      <c r="D7" s="3456">
        <v>56.36</v>
      </c>
      <c r="E7" s="3456" t="s">
        <v>3393</v>
      </c>
      <c r="F7" s="3456">
        <v>6</v>
      </c>
      <c r="G7" s="3456">
        <v>1</v>
      </c>
      <c r="H7" s="3456" t="s">
        <v>633</v>
      </c>
      <c r="I7" s="3456">
        <v>1997</v>
      </c>
      <c r="J7" s="3456">
        <v>67069</v>
      </c>
      <c r="K7" s="3456">
        <v>61482</v>
      </c>
      <c r="L7" s="3456">
        <v>3465126</v>
      </c>
      <c r="M7" s="3457">
        <v>45018</v>
      </c>
    </row>
    <row r="8" spans="1:14" ht="40.5">
      <c r="A8" s="3451" t="s">
        <v>3398</v>
      </c>
      <c r="B8" s="3451" t="s">
        <v>3391</v>
      </c>
      <c r="C8" s="3451" t="s">
        <v>3397</v>
      </c>
      <c r="D8" s="3451">
        <v>48.88</v>
      </c>
      <c r="E8" s="3451" t="s">
        <v>3393</v>
      </c>
      <c r="F8" s="3451" t="s">
        <v>3399</v>
      </c>
      <c r="G8" s="3451">
        <v>15</v>
      </c>
      <c r="H8" s="3451" t="s">
        <v>633</v>
      </c>
      <c r="I8" s="3451">
        <v>1998</v>
      </c>
      <c r="J8" s="3451">
        <v>61989</v>
      </c>
      <c r="K8" s="3451">
        <v>59094</v>
      </c>
      <c r="L8" s="3451">
        <v>2888515</v>
      </c>
      <c r="M8" s="3452">
        <v>44979</v>
      </c>
    </row>
    <row r="9" spans="1:14" ht="54">
      <c r="A9" s="3449" t="s">
        <v>3400</v>
      </c>
      <c r="B9" s="3449" t="s">
        <v>3391</v>
      </c>
      <c r="C9" s="3449" t="s">
        <v>3395</v>
      </c>
      <c r="D9" s="3449">
        <v>56.36</v>
      </c>
      <c r="E9" s="3449" t="s">
        <v>3393</v>
      </c>
      <c r="F9" s="3449">
        <v>6</v>
      </c>
      <c r="G9" s="3449">
        <v>5</v>
      </c>
      <c r="H9" s="3449" t="s">
        <v>633</v>
      </c>
      <c r="I9" s="3449">
        <v>1997</v>
      </c>
      <c r="J9" s="3449">
        <v>62633</v>
      </c>
      <c r="K9" s="3449">
        <v>59791</v>
      </c>
      <c r="L9" s="3449">
        <v>3369821</v>
      </c>
      <c r="M9" s="3450">
        <v>44974</v>
      </c>
    </row>
    <row r="10" spans="1:14" ht="40.5">
      <c r="A10" s="3451" t="s">
        <v>3401</v>
      </c>
      <c r="B10" s="3451" t="s">
        <v>3391</v>
      </c>
      <c r="C10" s="3451" t="s">
        <v>3395</v>
      </c>
      <c r="D10" s="3451">
        <v>65.180000000000007</v>
      </c>
      <c r="E10" s="3451" t="s">
        <v>3393</v>
      </c>
      <c r="F10" s="3451">
        <v>18</v>
      </c>
      <c r="G10" s="3451">
        <v>11</v>
      </c>
      <c r="H10" s="3451" t="s">
        <v>633</v>
      </c>
      <c r="I10" s="3451">
        <v>1996</v>
      </c>
      <c r="J10" s="3451">
        <v>61215</v>
      </c>
      <c r="K10" s="3451">
        <v>57952</v>
      </c>
      <c r="L10" s="3451">
        <v>3777311</v>
      </c>
      <c r="M10" s="3452">
        <v>44936</v>
      </c>
    </row>
    <row r="11" spans="1:14" ht="40.5">
      <c r="A11" s="3449" t="s">
        <v>3402</v>
      </c>
      <c r="B11" s="3449" t="s">
        <v>3391</v>
      </c>
      <c r="C11" s="3449" t="s">
        <v>3397</v>
      </c>
      <c r="D11" s="3449">
        <v>64.36</v>
      </c>
      <c r="E11" s="3449" t="s">
        <v>3393</v>
      </c>
      <c r="F11" s="3449" t="s">
        <v>3399</v>
      </c>
      <c r="G11" s="3449">
        <v>4</v>
      </c>
      <c r="H11" s="3449" t="s">
        <v>633</v>
      </c>
      <c r="I11" s="3449">
        <v>1997</v>
      </c>
      <c r="J11" s="3449">
        <v>57489</v>
      </c>
      <c r="K11" s="3449">
        <v>54692</v>
      </c>
      <c r="L11" s="3449">
        <v>3519977</v>
      </c>
      <c r="M11" s="3450">
        <v>44850</v>
      </c>
    </row>
    <row r="12" spans="1:14" ht="40.5">
      <c r="A12" s="3449" t="s">
        <v>3403</v>
      </c>
      <c r="B12" s="3449" t="s">
        <v>3391</v>
      </c>
      <c r="C12" s="3449" t="s">
        <v>3397</v>
      </c>
      <c r="D12" s="3449">
        <v>64.36</v>
      </c>
      <c r="E12" s="3449" t="s">
        <v>3393</v>
      </c>
      <c r="F12" s="3449" t="s">
        <v>3399</v>
      </c>
      <c r="G12" s="3449">
        <v>2</v>
      </c>
      <c r="H12" s="3449" t="s">
        <v>633</v>
      </c>
      <c r="I12" s="3449">
        <v>1996</v>
      </c>
      <c r="J12" s="3449">
        <v>57489</v>
      </c>
      <c r="K12" s="3449">
        <v>54968</v>
      </c>
      <c r="L12" s="3449">
        <v>3537740</v>
      </c>
      <c r="M12" s="3450">
        <v>44823</v>
      </c>
    </row>
    <row r="13" spans="1:14" ht="40.5">
      <c r="A13" s="3449" t="s">
        <v>3404</v>
      </c>
      <c r="B13" s="3449" t="s">
        <v>3391</v>
      </c>
      <c r="C13" s="3449" t="s">
        <v>3395</v>
      </c>
      <c r="D13" s="3449">
        <v>56.36</v>
      </c>
      <c r="E13" s="3449" t="s">
        <v>3393</v>
      </c>
      <c r="F13" s="3449">
        <v>6</v>
      </c>
      <c r="G13" s="3449">
        <v>4</v>
      </c>
      <c r="H13" s="3449">
        <v>1997</v>
      </c>
      <c r="I13" s="3449" t="s">
        <v>633</v>
      </c>
      <c r="J13" s="3449">
        <v>61568</v>
      </c>
      <c r="K13" s="3449">
        <v>57312</v>
      </c>
      <c r="L13" s="3449">
        <v>3230104</v>
      </c>
      <c r="M13" s="3450">
        <v>44808</v>
      </c>
    </row>
    <row r="14" spans="1:14" ht="40.5">
      <c r="A14" s="3449" t="s">
        <v>3405</v>
      </c>
      <c r="B14" s="3449" t="s">
        <v>3391</v>
      </c>
      <c r="C14" s="3449" t="s">
        <v>3395</v>
      </c>
      <c r="D14" s="3449">
        <v>91.11</v>
      </c>
      <c r="E14" s="3449" t="s">
        <v>3393</v>
      </c>
      <c r="F14" s="3449">
        <v>18</v>
      </c>
      <c r="G14" s="3449">
        <v>7</v>
      </c>
      <c r="H14" s="3449" t="s">
        <v>633</v>
      </c>
      <c r="I14" s="3449">
        <v>1998</v>
      </c>
      <c r="J14" s="3449">
        <v>57074</v>
      </c>
      <c r="K14" s="3449">
        <v>55536</v>
      </c>
      <c r="L14" s="3449">
        <v>5059885</v>
      </c>
      <c r="M14" s="3450">
        <v>44605</v>
      </c>
    </row>
    <row r="15" spans="1:14" ht="40.5">
      <c r="A15" s="3449" t="s">
        <v>3406</v>
      </c>
      <c r="B15" s="3449" t="s">
        <v>3391</v>
      </c>
      <c r="C15" s="3449" t="s">
        <v>3397</v>
      </c>
      <c r="D15" s="3449">
        <v>56.36</v>
      </c>
      <c r="E15" s="3449" t="s">
        <v>3393</v>
      </c>
      <c r="F15" s="3449">
        <v>6</v>
      </c>
      <c r="G15" s="3449">
        <v>4</v>
      </c>
      <c r="H15" s="3449" t="s">
        <v>633</v>
      </c>
      <c r="I15" s="3449">
        <v>1997</v>
      </c>
      <c r="J15" s="3449">
        <v>57399</v>
      </c>
      <c r="K15" s="3449">
        <v>56303</v>
      </c>
      <c r="L15" s="3449">
        <v>3173237</v>
      </c>
      <c r="M15" s="3450">
        <v>44586</v>
      </c>
    </row>
    <row r="16" spans="1:14" ht="40.5">
      <c r="A16" s="3449" t="s">
        <v>3407</v>
      </c>
      <c r="B16" s="3449" t="s">
        <v>3391</v>
      </c>
      <c r="C16" s="3449" t="s">
        <v>3397</v>
      </c>
      <c r="D16" s="3449">
        <v>57.16</v>
      </c>
      <c r="E16" s="3449" t="s">
        <v>3393</v>
      </c>
      <c r="F16" s="3449">
        <v>18</v>
      </c>
      <c r="G16" s="3449">
        <v>10</v>
      </c>
      <c r="H16" s="3449" t="s">
        <v>633</v>
      </c>
      <c r="I16" s="3449">
        <v>1996</v>
      </c>
      <c r="J16" s="3449">
        <v>64731</v>
      </c>
      <c r="K16" s="3449">
        <v>61599</v>
      </c>
      <c r="L16" s="3449">
        <v>3520999</v>
      </c>
      <c r="M16" s="3450">
        <v>44558</v>
      </c>
    </row>
    <row r="17" spans="1:13" ht="40.5">
      <c r="A17" s="3449" t="s">
        <v>3408</v>
      </c>
      <c r="B17" s="3449" t="s">
        <v>3391</v>
      </c>
      <c r="C17" s="3449" t="s">
        <v>3395</v>
      </c>
      <c r="D17" s="3449">
        <v>49.15</v>
      </c>
      <c r="E17" s="3449" t="s">
        <v>3393</v>
      </c>
      <c r="F17" s="3449" t="s">
        <v>3399</v>
      </c>
      <c r="G17" s="3449">
        <v>5</v>
      </c>
      <c r="H17" s="3449" t="s">
        <v>633</v>
      </c>
      <c r="I17" s="3449">
        <v>1996</v>
      </c>
      <c r="J17" s="3449">
        <v>70193</v>
      </c>
      <c r="K17" s="3449">
        <v>61308</v>
      </c>
      <c r="L17" s="3449">
        <v>3013288</v>
      </c>
      <c r="M17" s="3450">
        <v>44517</v>
      </c>
    </row>
    <row r="18" spans="1:13" ht="40.5">
      <c r="A18" s="3449" t="s">
        <v>3409</v>
      </c>
      <c r="B18" s="3449" t="s">
        <v>3391</v>
      </c>
      <c r="C18" s="3449" t="s">
        <v>3392</v>
      </c>
      <c r="D18" s="3449">
        <v>65.180000000000007</v>
      </c>
      <c r="E18" s="3449" t="s">
        <v>3393</v>
      </c>
      <c r="F18" s="3449">
        <v>18</v>
      </c>
      <c r="G18" s="3449">
        <v>7</v>
      </c>
      <c r="H18" s="3449" t="s">
        <v>633</v>
      </c>
      <c r="I18" s="3449">
        <v>1996</v>
      </c>
      <c r="J18" s="3449">
        <v>58300</v>
      </c>
      <c r="K18" s="3449">
        <v>54327</v>
      </c>
      <c r="L18" s="3449">
        <v>3541034</v>
      </c>
      <c r="M18" s="3450">
        <v>44516</v>
      </c>
    </row>
    <row r="20" spans="1:13">
      <c r="K20" s="3449">
        <v>6500</v>
      </c>
      <c r="L20" s="3449">
        <v>57.95</v>
      </c>
      <c r="M20">
        <f>K20/L20</f>
        <v>112.16566005176875</v>
      </c>
    </row>
    <row r="21" spans="1:13">
      <c r="K21" s="3449">
        <v>5500</v>
      </c>
      <c r="L21" s="3449">
        <v>39.6</v>
      </c>
      <c r="M21">
        <f t="shared" ref="M21:M23" si="0">K21/L21</f>
        <v>138.88888888888889</v>
      </c>
    </row>
    <row r="22" spans="1:13">
      <c r="K22" s="3449">
        <v>5400</v>
      </c>
      <c r="L22" s="3449">
        <v>57</v>
      </c>
      <c r="M22">
        <f t="shared" si="0"/>
        <v>94.736842105263165</v>
      </c>
    </row>
    <row r="23" spans="1:13">
      <c r="K23" s="3449">
        <v>5200</v>
      </c>
      <c r="L23" s="3449">
        <v>49.02</v>
      </c>
      <c r="M23">
        <f t="shared" si="0"/>
        <v>106.07915136678906</v>
      </c>
    </row>
    <row r="24" spans="1:13">
      <c r="M24">
        <f>AVERAGE(M20:M23)</f>
        <v>112.96763560317747</v>
      </c>
    </row>
    <row r="25" spans="1:13">
      <c r="M25">
        <f>M24*L23</f>
        <v>5537.6734972677596</v>
      </c>
    </row>
  </sheetData>
  <phoneticPr fontId="134" type="noConversion"/>
  <pageMargins left="0.7" right="0.7" top="0.75" bottom="0.75" header="0.3" footer="0.3"/>
  <pageSetup paperSize="9" orientation="portrait" verticalDpi="0" r:id="rId1"/>
  <drawing r:id="rId2"/>
  <legacyDrawing r:id="rId3"/>
  <controls>
    <mc:AlternateContent xmlns:mc="http://schemas.openxmlformats.org/markup-compatibility/2006">
      <mc:Choice Requires="x14">
        <control shapeId="112667" r:id="rId4" name="Control 27">
          <controlPr defaultSize="0" r:id="rId5">
            <anchor moveWithCells="1">
              <from>
                <xdr:col>0</xdr:col>
                <xdr:colOff>0</xdr:colOff>
                <xdr:row>17</xdr:row>
                <xdr:rowOff>0</xdr:rowOff>
              </from>
              <to>
                <xdr:col>0</xdr:col>
                <xdr:colOff>257175</xdr:colOff>
                <xdr:row>17</xdr:row>
                <xdr:rowOff>238125</xdr:rowOff>
              </to>
            </anchor>
          </controlPr>
        </control>
      </mc:Choice>
      <mc:Fallback>
        <control shapeId="112667" r:id="rId4" name="Control 27"/>
      </mc:Fallback>
    </mc:AlternateContent>
    <mc:AlternateContent xmlns:mc="http://schemas.openxmlformats.org/markup-compatibility/2006">
      <mc:Choice Requires="x14">
        <control shapeId="112666" r:id="rId6" name="Control 26">
          <controlPr defaultSize="0" r:id="rId5">
            <anchor moveWithCells="1">
              <from>
                <xdr:col>0</xdr:col>
                <xdr:colOff>0</xdr:colOff>
                <xdr:row>16</xdr:row>
                <xdr:rowOff>0</xdr:rowOff>
              </from>
              <to>
                <xdr:col>0</xdr:col>
                <xdr:colOff>257175</xdr:colOff>
                <xdr:row>16</xdr:row>
                <xdr:rowOff>238125</xdr:rowOff>
              </to>
            </anchor>
          </controlPr>
        </control>
      </mc:Choice>
      <mc:Fallback>
        <control shapeId="112666" r:id="rId6" name="Control 26"/>
      </mc:Fallback>
    </mc:AlternateContent>
    <mc:AlternateContent xmlns:mc="http://schemas.openxmlformats.org/markup-compatibility/2006">
      <mc:Choice Requires="x14">
        <control shapeId="112665" r:id="rId7" name="Control 25">
          <controlPr defaultSize="0" r:id="rId5">
            <anchor moveWithCells="1">
              <from>
                <xdr:col>0</xdr:col>
                <xdr:colOff>0</xdr:colOff>
                <xdr:row>15</xdr:row>
                <xdr:rowOff>0</xdr:rowOff>
              </from>
              <to>
                <xdr:col>0</xdr:col>
                <xdr:colOff>257175</xdr:colOff>
                <xdr:row>15</xdr:row>
                <xdr:rowOff>238125</xdr:rowOff>
              </to>
            </anchor>
          </controlPr>
        </control>
      </mc:Choice>
      <mc:Fallback>
        <control shapeId="112665" r:id="rId7" name="Control 25"/>
      </mc:Fallback>
    </mc:AlternateContent>
    <mc:AlternateContent xmlns:mc="http://schemas.openxmlformats.org/markup-compatibility/2006">
      <mc:Choice Requires="x14">
        <control shapeId="112664" r:id="rId8" name="Control 24">
          <controlPr defaultSize="0" r:id="rId5">
            <anchor moveWithCells="1">
              <from>
                <xdr:col>0</xdr:col>
                <xdr:colOff>0</xdr:colOff>
                <xdr:row>14</xdr:row>
                <xdr:rowOff>0</xdr:rowOff>
              </from>
              <to>
                <xdr:col>0</xdr:col>
                <xdr:colOff>257175</xdr:colOff>
                <xdr:row>14</xdr:row>
                <xdr:rowOff>238125</xdr:rowOff>
              </to>
            </anchor>
          </controlPr>
        </control>
      </mc:Choice>
      <mc:Fallback>
        <control shapeId="112664" r:id="rId8" name="Control 24"/>
      </mc:Fallback>
    </mc:AlternateContent>
    <mc:AlternateContent xmlns:mc="http://schemas.openxmlformats.org/markup-compatibility/2006">
      <mc:Choice Requires="x14">
        <control shapeId="112663" r:id="rId9" name="Control 23">
          <controlPr defaultSize="0" r:id="rId5">
            <anchor moveWithCells="1">
              <from>
                <xdr:col>0</xdr:col>
                <xdr:colOff>0</xdr:colOff>
                <xdr:row>13</xdr:row>
                <xdr:rowOff>0</xdr:rowOff>
              </from>
              <to>
                <xdr:col>0</xdr:col>
                <xdr:colOff>257175</xdr:colOff>
                <xdr:row>13</xdr:row>
                <xdr:rowOff>238125</xdr:rowOff>
              </to>
            </anchor>
          </controlPr>
        </control>
      </mc:Choice>
      <mc:Fallback>
        <control shapeId="112663" r:id="rId9" name="Control 23"/>
      </mc:Fallback>
    </mc:AlternateContent>
    <mc:AlternateContent xmlns:mc="http://schemas.openxmlformats.org/markup-compatibility/2006">
      <mc:Choice Requires="x14">
        <control shapeId="112662" r:id="rId10" name="Control 22">
          <controlPr defaultSize="0" r:id="rId5">
            <anchor moveWithCells="1">
              <from>
                <xdr:col>0</xdr:col>
                <xdr:colOff>0</xdr:colOff>
                <xdr:row>12</xdr:row>
                <xdr:rowOff>0</xdr:rowOff>
              </from>
              <to>
                <xdr:col>0</xdr:col>
                <xdr:colOff>257175</xdr:colOff>
                <xdr:row>12</xdr:row>
                <xdr:rowOff>238125</xdr:rowOff>
              </to>
            </anchor>
          </controlPr>
        </control>
      </mc:Choice>
      <mc:Fallback>
        <control shapeId="112662" r:id="rId10" name="Control 22"/>
      </mc:Fallback>
    </mc:AlternateContent>
    <mc:AlternateContent xmlns:mc="http://schemas.openxmlformats.org/markup-compatibility/2006">
      <mc:Choice Requires="x14">
        <control shapeId="112661" r:id="rId11" name="Control 21">
          <controlPr defaultSize="0" r:id="rId5">
            <anchor moveWithCells="1">
              <from>
                <xdr:col>0</xdr:col>
                <xdr:colOff>0</xdr:colOff>
                <xdr:row>11</xdr:row>
                <xdr:rowOff>0</xdr:rowOff>
              </from>
              <to>
                <xdr:col>0</xdr:col>
                <xdr:colOff>257175</xdr:colOff>
                <xdr:row>11</xdr:row>
                <xdr:rowOff>238125</xdr:rowOff>
              </to>
            </anchor>
          </controlPr>
        </control>
      </mc:Choice>
      <mc:Fallback>
        <control shapeId="112661" r:id="rId11" name="Control 21"/>
      </mc:Fallback>
    </mc:AlternateContent>
    <mc:AlternateContent xmlns:mc="http://schemas.openxmlformats.org/markup-compatibility/2006">
      <mc:Choice Requires="x14">
        <control shapeId="112660" r:id="rId12" name="Control 20">
          <controlPr defaultSize="0" r:id="rId5">
            <anchor moveWithCells="1">
              <from>
                <xdr:col>0</xdr:col>
                <xdr:colOff>0</xdr:colOff>
                <xdr:row>10</xdr:row>
                <xdr:rowOff>0</xdr:rowOff>
              </from>
              <to>
                <xdr:col>0</xdr:col>
                <xdr:colOff>257175</xdr:colOff>
                <xdr:row>10</xdr:row>
                <xdr:rowOff>238125</xdr:rowOff>
              </to>
            </anchor>
          </controlPr>
        </control>
      </mc:Choice>
      <mc:Fallback>
        <control shapeId="112660" r:id="rId12" name="Control 20"/>
      </mc:Fallback>
    </mc:AlternateContent>
    <mc:AlternateContent xmlns:mc="http://schemas.openxmlformats.org/markup-compatibility/2006">
      <mc:Choice Requires="x14">
        <control shapeId="112659" r:id="rId13" name="Control 19">
          <controlPr defaultSize="0" r:id="rId5">
            <anchor moveWithCells="1">
              <from>
                <xdr:col>0</xdr:col>
                <xdr:colOff>0</xdr:colOff>
                <xdr:row>9</xdr:row>
                <xdr:rowOff>0</xdr:rowOff>
              </from>
              <to>
                <xdr:col>0</xdr:col>
                <xdr:colOff>257175</xdr:colOff>
                <xdr:row>9</xdr:row>
                <xdr:rowOff>238125</xdr:rowOff>
              </to>
            </anchor>
          </controlPr>
        </control>
      </mc:Choice>
      <mc:Fallback>
        <control shapeId="112659" r:id="rId13" name="Control 19"/>
      </mc:Fallback>
    </mc:AlternateContent>
    <mc:AlternateContent xmlns:mc="http://schemas.openxmlformats.org/markup-compatibility/2006">
      <mc:Choice Requires="x14">
        <control shapeId="112658" r:id="rId14" name="Control 18">
          <controlPr defaultSize="0" r:id="rId5">
            <anchor moveWithCells="1">
              <from>
                <xdr:col>0</xdr:col>
                <xdr:colOff>0</xdr:colOff>
                <xdr:row>8</xdr:row>
                <xdr:rowOff>0</xdr:rowOff>
              </from>
              <to>
                <xdr:col>0</xdr:col>
                <xdr:colOff>257175</xdr:colOff>
                <xdr:row>8</xdr:row>
                <xdr:rowOff>238125</xdr:rowOff>
              </to>
            </anchor>
          </controlPr>
        </control>
      </mc:Choice>
      <mc:Fallback>
        <control shapeId="112658" r:id="rId14" name="Control 18"/>
      </mc:Fallback>
    </mc:AlternateContent>
    <mc:AlternateContent xmlns:mc="http://schemas.openxmlformats.org/markup-compatibility/2006">
      <mc:Choice Requires="x14">
        <control shapeId="112657" r:id="rId15" name="Control 17">
          <controlPr defaultSize="0" r:id="rId16">
            <anchor moveWithCells="1">
              <from>
                <xdr:col>0</xdr:col>
                <xdr:colOff>0</xdr:colOff>
                <xdr:row>7</xdr:row>
                <xdr:rowOff>0</xdr:rowOff>
              </from>
              <to>
                <xdr:col>0</xdr:col>
                <xdr:colOff>257175</xdr:colOff>
                <xdr:row>7</xdr:row>
                <xdr:rowOff>238125</xdr:rowOff>
              </to>
            </anchor>
          </controlPr>
        </control>
      </mc:Choice>
      <mc:Fallback>
        <control shapeId="112657" r:id="rId15" name="Control 17"/>
      </mc:Fallback>
    </mc:AlternateContent>
    <mc:AlternateContent xmlns:mc="http://schemas.openxmlformats.org/markup-compatibility/2006">
      <mc:Choice Requires="x14">
        <control shapeId="112656" r:id="rId17" name="Control 16">
          <controlPr defaultSize="0" r:id="rId5">
            <anchor moveWithCells="1">
              <from>
                <xdr:col>0</xdr:col>
                <xdr:colOff>0</xdr:colOff>
                <xdr:row>6</xdr:row>
                <xdr:rowOff>0</xdr:rowOff>
              </from>
              <to>
                <xdr:col>0</xdr:col>
                <xdr:colOff>257175</xdr:colOff>
                <xdr:row>6</xdr:row>
                <xdr:rowOff>238125</xdr:rowOff>
              </to>
            </anchor>
          </controlPr>
        </control>
      </mc:Choice>
      <mc:Fallback>
        <control shapeId="112656" r:id="rId17" name="Control 16"/>
      </mc:Fallback>
    </mc:AlternateContent>
    <mc:AlternateContent xmlns:mc="http://schemas.openxmlformats.org/markup-compatibility/2006">
      <mc:Choice Requires="x14">
        <control shapeId="112655" r:id="rId18" name="Control 15">
          <controlPr defaultSize="0" r:id="rId5">
            <anchor moveWithCells="1">
              <from>
                <xdr:col>0</xdr:col>
                <xdr:colOff>0</xdr:colOff>
                <xdr:row>5</xdr:row>
                <xdr:rowOff>0</xdr:rowOff>
              </from>
              <to>
                <xdr:col>0</xdr:col>
                <xdr:colOff>257175</xdr:colOff>
                <xdr:row>5</xdr:row>
                <xdr:rowOff>238125</xdr:rowOff>
              </to>
            </anchor>
          </controlPr>
        </control>
      </mc:Choice>
      <mc:Fallback>
        <control shapeId="112655" r:id="rId18" name="Control 15"/>
      </mc:Fallback>
    </mc:AlternateContent>
    <mc:AlternateContent xmlns:mc="http://schemas.openxmlformats.org/markup-compatibility/2006">
      <mc:Choice Requires="x14">
        <control shapeId="112654" r:id="rId19" name="Control 14">
          <controlPr defaultSize="0" r:id="rId5">
            <anchor moveWithCells="1">
              <from>
                <xdr:col>0</xdr:col>
                <xdr:colOff>0</xdr:colOff>
                <xdr:row>4</xdr:row>
                <xdr:rowOff>0</xdr:rowOff>
              </from>
              <to>
                <xdr:col>0</xdr:col>
                <xdr:colOff>257175</xdr:colOff>
                <xdr:row>4</xdr:row>
                <xdr:rowOff>238125</xdr:rowOff>
              </to>
            </anchor>
          </controlPr>
        </control>
      </mc:Choice>
      <mc:Fallback>
        <control shapeId="112654" r:id="rId19" name="Control 14"/>
      </mc:Fallback>
    </mc:AlternateContent>
    <mc:AlternateContent xmlns:mc="http://schemas.openxmlformats.org/markup-compatibility/2006">
      <mc:Choice Requires="x14">
        <control shapeId="112653" r:id="rId20" name="Control 13">
          <controlPr defaultSize="0" r:id="rId21">
            <anchor moveWithCells="1">
              <from>
                <xdr:col>0</xdr:col>
                <xdr:colOff>0</xdr:colOff>
                <xdr:row>0</xdr:row>
                <xdr:rowOff>0</xdr:rowOff>
              </from>
              <to>
                <xdr:col>1</xdr:col>
                <xdr:colOff>171450</xdr:colOff>
                <xdr:row>1</xdr:row>
                <xdr:rowOff>57150</xdr:rowOff>
              </to>
            </anchor>
          </controlPr>
        </control>
      </mc:Choice>
      <mc:Fallback>
        <control shapeId="112653" r:id="rId20" name="Control 13"/>
      </mc:Fallback>
    </mc:AlternateContent>
    <mc:AlternateContent xmlns:mc="http://schemas.openxmlformats.org/markup-compatibility/2006">
      <mc:Choice Requires="x14">
        <control shapeId="112652" r:id="rId22" name="Control 12">
          <controlPr defaultSize="0" r:id="rId21">
            <anchor moveWithCells="1">
              <from>
                <xdr:col>2</xdr:col>
                <xdr:colOff>0</xdr:colOff>
                <xdr:row>0</xdr:row>
                <xdr:rowOff>0</xdr:rowOff>
              </from>
              <to>
                <xdr:col>3</xdr:col>
                <xdr:colOff>171450</xdr:colOff>
                <xdr:row>1</xdr:row>
                <xdr:rowOff>57150</xdr:rowOff>
              </to>
            </anchor>
          </controlPr>
        </control>
      </mc:Choice>
      <mc:Fallback>
        <control shapeId="112652" r:id="rId22" name="Control 12"/>
      </mc:Fallback>
    </mc:AlternateContent>
    <mc:AlternateContent xmlns:mc="http://schemas.openxmlformats.org/markup-compatibility/2006">
      <mc:Choice Requires="x14">
        <control shapeId="112651" r:id="rId23" name="Control 11">
          <controlPr defaultSize="0" r:id="rId21">
            <anchor moveWithCells="1">
              <from>
                <xdr:col>0</xdr:col>
                <xdr:colOff>0</xdr:colOff>
                <xdr:row>0</xdr:row>
                <xdr:rowOff>0</xdr:rowOff>
              </from>
              <to>
                <xdr:col>1</xdr:col>
                <xdr:colOff>171450</xdr:colOff>
                <xdr:row>1</xdr:row>
                <xdr:rowOff>57150</xdr:rowOff>
              </to>
            </anchor>
          </controlPr>
        </control>
      </mc:Choice>
      <mc:Fallback>
        <control shapeId="112651" r:id="rId23" name="Control 11"/>
      </mc:Fallback>
    </mc:AlternateContent>
    <mc:AlternateContent xmlns:mc="http://schemas.openxmlformats.org/markup-compatibility/2006">
      <mc:Choice Requires="x14">
        <control shapeId="112650" r:id="rId24" name="Control 10">
          <controlPr defaultSize="0" r:id="rId21">
            <anchor moveWithCells="1">
              <from>
                <xdr:col>0</xdr:col>
                <xdr:colOff>0</xdr:colOff>
                <xdr:row>0</xdr:row>
                <xdr:rowOff>0</xdr:rowOff>
              </from>
              <to>
                <xdr:col>1</xdr:col>
                <xdr:colOff>171450</xdr:colOff>
                <xdr:row>1</xdr:row>
                <xdr:rowOff>57150</xdr:rowOff>
              </to>
            </anchor>
          </controlPr>
        </control>
      </mc:Choice>
      <mc:Fallback>
        <control shapeId="112650" r:id="rId24" name="Control 10"/>
      </mc:Fallback>
    </mc:AlternateContent>
    <mc:AlternateContent xmlns:mc="http://schemas.openxmlformats.org/markup-compatibility/2006">
      <mc:Choice Requires="x14">
        <control shapeId="112649" r:id="rId25" name="Control 9">
          <controlPr defaultSize="0" r:id="rId21">
            <anchor moveWithCells="1">
              <from>
                <xdr:col>0</xdr:col>
                <xdr:colOff>0</xdr:colOff>
                <xdr:row>0</xdr:row>
                <xdr:rowOff>0</xdr:rowOff>
              </from>
              <to>
                <xdr:col>1</xdr:col>
                <xdr:colOff>171450</xdr:colOff>
                <xdr:row>1</xdr:row>
                <xdr:rowOff>57150</xdr:rowOff>
              </to>
            </anchor>
          </controlPr>
        </control>
      </mc:Choice>
      <mc:Fallback>
        <control shapeId="112649" r:id="rId25" name="Control 9"/>
      </mc:Fallback>
    </mc:AlternateContent>
    <mc:AlternateContent xmlns:mc="http://schemas.openxmlformats.org/markup-compatibility/2006">
      <mc:Choice Requires="x14">
        <control shapeId="112648" r:id="rId26" name="Control 8">
          <controlPr defaultSize="0" r:id="rId21">
            <anchor moveWithCells="1">
              <from>
                <xdr:col>2</xdr:col>
                <xdr:colOff>0</xdr:colOff>
                <xdr:row>0</xdr:row>
                <xdr:rowOff>0</xdr:rowOff>
              </from>
              <to>
                <xdr:col>3</xdr:col>
                <xdr:colOff>171450</xdr:colOff>
                <xdr:row>1</xdr:row>
                <xdr:rowOff>57150</xdr:rowOff>
              </to>
            </anchor>
          </controlPr>
        </control>
      </mc:Choice>
      <mc:Fallback>
        <control shapeId="112648" r:id="rId26" name="Control 8"/>
      </mc:Fallback>
    </mc:AlternateContent>
    <mc:AlternateContent xmlns:mc="http://schemas.openxmlformats.org/markup-compatibility/2006">
      <mc:Choice Requires="x14">
        <control shapeId="112647" r:id="rId27" name="Control 7">
          <controlPr defaultSize="0" r:id="rId21">
            <anchor moveWithCells="1">
              <from>
                <xdr:col>0</xdr:col>
                <xdr:colOff>0</xdr:colOff>
                <xdr:row>0</xdr:row>
                <xdr:rowOff>0</xdr:rowOff>
              </from>
              <to>
                <xdr:col>1</xdr:col>
                <xdr:colOff>171450</xdr:colOff>
                <xdr:row>1</xdr:row>
                <xdr:rowOff>57150</xdr:rowOff>
              </to>
            </anchor>
          </controlPr>
        </control>
      </mc:Choice>
      <mc:Fallback>
        <control shapeId="112647" r:id="rId27" name="Control 7"/>
      </mc:Fallback>
    </mc:AlternateContent>
    <mc:AlternateContent xmlns:mc="http://schemas.openxmlformats.org/markup-compatibility/2006">
      <mc:Choice Requires="x14">
        <control shapeId="112646" r:id="rId28" name="Control 6">
          <controlPr defaultSize="0" r:id="rId21">
            <anchor moveWithCells="1">
              <from>
                <xdr:col>0</xdr:col>
                <xdr:colOff>0</xdr:colOff>
                <xdr:row>0</xdr:row>
                <xdr:rowOff>0</xdr:rowOff>
              </from>
              <to>
                <xdr:col>1</xdr:col>
                <xdr:colOff>171450</xdr:colOff>
                <xdr:row>1</xdr:row>
                <xdr:rowOff>57150</xdr:rowOff>
              </to>
            </anchor>
          </controlPr>
        </control>
      </mc:Choice>
      <mc:Fallback>
        <control shapeId="112646" r:id="rId28" name="Control 6"/>
      </mc:Fallback>
    </mc:AlternateContent>
    <mc:AlternateContent xmlns:mc="http://schemas.openxmlformats.org/markup-compatibility/2006">
      <mc:Choice Requires="x14">
        <control shapeId="112645" r:id="rId29" name="Control 5">
          <controlPr defaultSize="0" r:id="rId30">
            <anchor moveWithCells="1">
              <from>
                <xdr:col>0</xdr:col>
                <xdr:colOff>0</xdr:colOff>
                <xdr:row>0</xdr:row>
                <xdr:rowOff>0</xdr:rowOff>
              </from>
              <to>
                <xdr:col>1</xdr:col>
                <xdr:colOff>171450</xdr:colOff>
                <xdr:row>1</xdr:row>
                <xdr:rowOff>57150</xdr:rowOff>
              </to>
            </anchor>
          </controlPr>
        </control>
      </mc:Choice>
      <mc:Fallback>
        <control shapeId="112645" r:id="rId29" name="Control 5"/>
      </mc:Fallback>
    </mc:AlternateContent>
    <mc:AlternateContent xmlns:mc="http://schemas.openxmlformats.org/markup-compatibility/2006">
      <mc:Choice Requires="x14">
        <control shapeId="112644" r:id="rId31" name="Control 4">
          <controlPr defaultSize="0" r:id="rId21">
            <anchor moveWithCells="1">
              <from>
                <xdr:col>2</xdr:col>
                <xdr:colOff>0</xdr:colOff>
                <xdr:row>0</xdr:row>
                <xdr:rowOff>0</xdr:rowOff>
              </from>
              <to>
                <xdr:col>3</xdr:col>
                <xdr:colOff>171450</xdr:colOff>
                <xdr:row>1</xdr:row>
                <xdr:rowOff>57150</xdr:rowOff>
              </to>
            </anchor>
          </controlPr>
        </control>
      </mc:Choice>
      <mc:Fallback>
        <control shapeId="112644" r:id="rId31" name="Control 4"/>
      </mc:Fallback>
    </mc:AlternateContent>
    <mc:AlternateContent xmlns:mc="http://schemas.openxmlformats.org/markup-compatibility/2006">
      <mc:Choice Requires="x14">
        <control shapeId="112643" r:id="rId32" name="Control 3">
          <controlPr defaultSize="0" r:id="rId21">
            <anchor moveWithCells="1">
              <from>
                <xdr:col>0</xdr:col>
                <xdr:colOff>0</xdr:colOff>
                <xdr:row>0</xdr:row>
                <xdr:rowOff>0</xdr:rowOff>
              </from>
              <to>
                <xdr:col>1</xdr:col>
                <xdr:colOff>171450</xdr:colOff>
                <xdr:row>1</xdr:row>
                <xdr:rowOff>57150</xdr:rowOff>
              </to>
            </anchor>
          </controlPr>
        </control>
      </mc:Choice>
      <mc:Fallback>
        <control shapeId="112643" r:id="rId32" name="Control 3"/>
      </mc:Fallback>
    </mc:AlternateContent>
    <mc:AlternateContent xmlns:mc="http://schemas.openxmlformats.org/markup-compatibility/2006">
      <mc:Choice Requires="x14">
        <control shapeId="112642" r:id="rId33" name="Control 2">
          <controlPr defaultSize="0" r:id="rId21">
            <anchor moveWithCells="1">
              <from>
                <xdr:col>0</xdr:col>
                <xdr:colOff>0</xdr:colOff>
                <xdr:row>0</xdr:row>
                <xdr:rowOff>0</xdr:rowOff>
              </from>
              <to>
                <xdr:col>1</xdr:col>
                <xdr:colOff>171450</xdr:colOff>
                <xdr:row>1</xdr:row>
                <xdr:rowOff>57150</xdr:rowOff>
              </to>
            </anchor>
          </controlPr>
        </control>
      </mc:Choice>
      <mc:Fallback>
        <control shapeId="112642" r:id="rId33" name="Control 2"/>
      </mc:Fallback>
    </mc:AlternateContent>
    <mc:AlternateContent xmlns:mc="http://schemas.openxmlformats.org/markup-compatibility/2006">
      <mc:Choice Requires="x14">
        <control shapeId="112641" r:id="rId34" name="Control 1">
          <controlPr defaultSize="0" r:id="rId21">
            <anchor moveWithCells="1">
              <from>
                <xdr:col>0</xdr:col>
                <xdr:colOff>0</xdr:colOff>
                <xdr:row>0</xdr:row>
                <xdr:rowOff>0</xdr:rowOff>
              </from>
              <to>
                <xdr:col>1</xdr:col>
                <xdr:colOff>171450</xdr:colOff>
                <xdr:row>1</xdr:row>
                <xdr:rowOff>57150</xdr:rowOff>
              </to>
            </anchor>
          </controlPr>
        </control>
      </mc:Choice>
      <mc:Fallback>
        <control shapeId="112641" r:id="rId34" name="Control 1"/>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7" t="str">
        <f>IF(项目基本情况!B9="房地产市场价值","估价结果一览表","结果表-2")</f>
        <v>估价结果一览表</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房地产市场价值</v>
      </c>
      <c r="I2" s="3488"/>
    </row>
    <row r="3" spans="1:9" ht="15">
      <c r="A3" s="3483"/>
      <c r="B3" s="3483"/>
      <c r="C3" s="3483"/>
      <c r="D3" s="854" t="s">
        <v>925</v>
      </c>
      <c r="E3" s="854" t="s">
        <v>931</v>
      </c>
      <c r="F3" s="854" t="s">
        <v>925</v>
      </c>
      <c r="G3" s="854" t="s">
        <v>926</v>
      </c>
      <c r="H3" s="854" t="s">
        <v>925</v>
      </c>
      <c r="I3" s="854" t="s">
        <v>926</v>
      </c>
    </row>
    <row r="4" spans="1:9" ht="15">
      <c r="A4" s="1505" t="str">
        <f>项目基本情况!S2</f>
        <v>北京市房地产</v>
      </c>
      <c r="B4" s="854">
        <f>项目基本情况!C17</f>
        <v>49.02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3" t="s">
        <v>927</v>
      </c>
      <c r="B5" s="3483"/>
      <c r="C5" s="3483"/>
      <c r="D5" s="3483" t="e">
        <f ca="1">结果表!D119</f>
        <v>#REF!</v>
      </c>
      <c r="E5" s="3483"/>
      <c r="F5" s="3483" t="e">
        <f ca="1">结果表!F119</f>
        <v>#REF!</v>
      </c>
      <c r="G5" s="3483"/>
      <c r="H5" s="3483" t="e">
        <f ca="1">结果表!H119</f>
        <v>#REF!</v>
      </c>
      <c r="I5" s="3483"/>
    </row>
    <row r="6" spans="1:9" ht="15.75">
      <c r="A6" s="3482" t="str">
        <f>结果表!A120</f>
        <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75">
      <c r="A8" s="3482" t="str">
        <f>结果表!A122</f>
        <v/>
      </c>
      <c r="B8" s="3482"/>
      <c r="C8" s="3482"/>
      <c r="D8" s="3482" t="e">
        <f ca="1">结果表!D122</f>
        <v>#REF!</v>
      </c>
      <c r="E8" s="3482"/>
      <c r="F8" s="3482"/>
      <c r="G8" s="3482"/>
      <c r="H8" s="3482"/>
      <c r="I8" s="3482"/>
    </row>
    <row r="9" spans="1:9" ht="15">
      <c r="A9" s="3483" t="s">
        <v>927</v>
      </c>
      <c r="B9" s="3483"/>
      <c r="C9" s="3483"/>
      <c r="D9" s="3483" t="e">
        <f ca="1">结果表!D123</f>
        <v>#REF!</v>
      </c>
      <c r="E9" s="3483"/>
      <c r="F9" s="3483"/>
      <c r="G9" s="3483"/>
      <c r="H9" s="3483"/>
      <c r="I9" s="3483"/>
    </row>
    <row r="10" spans="1:9" ht="15.75">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75">
      <c r="A12" s="3482" t="str">
        <f>结果表!A126</f>
        <v/>
      </c>
      <c r="B12" s="3482"/>
      <c r="C12" s="3482"/>
      <c r="D12" s="3482" t="str">
        <f>结果表!D126</f>
        <v>——</v>
      </c>
      <c r="E12" s="3482"/>
      <c r="F12" s="3482"/>
      <c r="G12" s="3482"/>
      <c r="H12" s="3482"/>
      <c r="I12" s="3482"/>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5" t="s">
        <v>949</v>
      </c>
      <c r="B1" s="3495"/>
      <c r="C1" s="3495"/>
      <c r="D1" s="3495"/>
    </row>
    <row r="2" spans="1:4" ht="18">
      <c r="A2" s="3496" t="s">
        <v>933</v>
      </c>
      <c r="B2" s="3496"/>
      <c r="C2" s="3496"/>
      <c r="D2" s="349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6" t="s">
        <v>939</v>
      </c>
      <c r="B6" s="3496"/>
      <c r="C6" s="3496"/>
      <c r="D6" s="349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7"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4"/>
      <c r="C12" s="3494"/>
      <c r="D12" s="3494"/>
    </row>
    <row r="13" spans="1:4" ht="30" customHeight="1">
      <c r="A13" s="3489" t="str">
        <f>IF(项目基本情况!B8="抵押","3.抵押双方在办理抵押登记手续时，应使用本公司出具的正式《房地产评估报告》，特提醒报告使用者注意。","——")</f>
        <v>——</v>
      </c>
      <c r="B13" s="3494"/>
      <c r="C13" s="3494"/>
      <c r="D13" s="3494"/>
    </row>
    <row r="14" spans="1:4" ht="15.75" customHeight="1">
      <c r="A14" s="3489" t="str">
        <f>IF(项目基本情况!B8="抵押","4.本次评估估价师所知悉的法定优先受偿款情况说明如下：","——")</f>
        <v>——</v>
      </c>
      <c r="B14" s="3494"/>
      <c r="C14" s="3494"/>
      <c r="D14" s="3494"/>
    </row>
    <row r="15" spans="1:4" ht="42" customHeight="1">
      <c r="A15" s="3489" t="str">
        <f>IF(项目基本情况!B8="抵押","（1）"&amp;CONCATENATE(项目基本情况!L20,项目基本情况!L21,项目基本情况!L22),"——")</f>
        <v>——</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3" t="s">
        <v>956</v>
      </c>
      <c r="B15" s="3498" t="s">
        <v>109</v>
      </c>
      <c r="C15" s="3499"/>
    </row>
    <row r="16" spans="1:7" ht="13.5">
      <c r="A16" s="3504"/>
      <c r="B16" s="3498" t="s">
        <v>42</v>
      </c>
      <c r="C16" s="3499"/>
    </row>
    <row r="17" spans="1:3" ht="13.5">
      <c r="A17" s="3504"/>
      <c r="B17" s="3501" t="s">
        <v>957</v>
      </c>
      <c r="C17" s="1532" t="s">
        <v>956</v>
      </c>
    </row>
    <row r="18" spans="1:3" ht="13.5">
      <c r="A18" s="3504"/>
      <c r="B18" s="3501"/>
      <c r="C18" s="1532" t="s">
        <v>958</v>
      </c>
    </row>
    <row r="19" spans="1:3" ht="13.5">
      <c r="A19" s="3504"/>
      <c r="B19" s="3501"/>
      <c r="C19" s="1532" t="s">
        <v>959</v>
      </c>
    </row>
    <row r="20" spans="1:3" ht="13.5">
      <c r="A20" s="3505"/>
      <c r="B20" s="3500" t="s">
        <v>960</v>
      </c>
      <c r="C20" s="3499"/>
    </row>
    <row r="21" spans="1:3" ht="13.5">
      <c r="A21" s="1533" t="s">
        <v>961</v>
      </c>
      <c r="B21" s="1534"/>
      <c r="C21" s="1535"/>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2" t="s">
        <v>967</v>
      </c>
    </row>
    <row r="26" spans="1:3" ht="13.5">
      <c r="A26" s="3502"/>
      <c r="B26" s="3501"/>
      <c r="C26" s="1532" t="s">
        <v>968</v>
      </c>
    </row>
    <row r="27" spans="1:3" ht="13.5">
      <c r="A27" s="3502"/>
      <c r="B27" s="3501"/>
      <c r="C27" s="1532" t="s">
        <v>969</v>
      </c>
    </row>
    <row r="28" spans="1:3" ht="13.5">
      <c r="A28" s="3502"/>
      <c r="B28" s="3501"/>
      <c r="C28" s="1532" t="s">
        <v>970</v>
      </c>
    </row>
    <row r="29" spans="1:3" ht="13.5">
      <c r="A29" s="3502"/>
      <c r="B29" s="3501"/>
      <c r="C29" s="1532" t="s">
        <v>971</v>
      </c>
    </row>
    <row r="30" spans="1:3" ht="13.5">
      <c r="A30" s="3502"/>
      <c r="B30" s="3501"/>
      <c r="C30" s="1532" t="s">
        <v>972</v>
      </c>
    </row>
    <row r="31" spans="1:3" ht="13.5">
      <c r="A31" s="3502"/>
      <c r="B31" s="3501"/>
      <c r="C31" s="1532" t="s">
        <v>973</v>
      </c>
    </row>
    <row r="32" spans="1:3" ht="13.5">
      <c r="A32" s="3502"/>
      <c r="B32" s="3501"/>
      <c r="C32" s="1532" t="s">
        <v>974</v>
      </c>
    </row>
    <row r="33" spans="1:3" ht="13.5">
      <c r="A33" s="3502"/>
      <c r="B33" s="350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45077</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f ca="1">IF(C6&lt;B2,"已过期",1120050019)</f>
        <v>1120050019</v>
      </c>
      <c r="C6" s="2343">
        <v>45410</v>
      </c>
      <c r="D6" s="2344" t="str">
        <f t="shared" ca="1" si="0"/>
        <v>王鹏（注册号：1120050019）</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f ca="1">IF(C9&lt;B2,"已过期",1120060040)</f>
        <v>1120060040</v>
      </c>
      <c r="C9" s="2348">
        <v>45592</v>
      </c>
      <c r="D9" s="2344" t="str">
        <f t="shared" ca="1" si="0"/>
        <v>陈颖（注册号：1120060040）</v>
      </c>
      <c r="E9" s="2345" t="s">
        <v>2153</v>
      </c>
      <c r="F9" s="1304">
        <f ca="1">IF(G9&lt;B2,"已过期",2004110096)</f>
        <v>2004110096</v>
      </c>
      <c r="G9" s="2346">
        <v>47118</v>
      </c>
      <c r="H9" s="2347" t="str">
        <f t="shared" ca="1" si="1"/>
        <v>陈颖（注册号：2004110096）</v>
      </c>
    </row>
    <row r="10" spans="1:8" ht="24" customHeight="1">
      <c r="A10" s="1304" t="s">
        <v>2154</v>
      </c>
      <c r="B10" s="1304">
        <f ca="1">IF(C10&lt;B2,"已过期",1120100036)</f>
        <v>1120100036</v>
      </c>
      <c r="C10" s="2348">
        <v>45752</v>
      </c>
      <c r="D10" s="2344" t="str">
        <f t="shared" ca="1" si="0"/>
        <v>崔锴（注册号：1120100036）</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f ca="1">IF(C13&lt;B2,"已过期",1120020033)</f>
        <v>1120020033</v>
      </c>
      <c r="C13" s="2343">
        <v>45375</v>
      </c>
      <c r="D13" s="2344" t="str">
        <f t="shared" ca="1" si="0"/>
        <v>刘敬东（注册号：1120020033）</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2440</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1"/>
      <c r="E18" s="3508" t="s">
        <v>2162</v>
      </c>
      <c r="F18" s="3507"/>
      <c r="G18" s="3507"/>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2023-05-31T06:40:35Z</dcterms:modified>
</cp:coreProperties>
</file>