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44B496C0-5E1F-413E-B28C-57C630F499BF}" xr6:coauthVersionLast="47" xr6:coauthVersionMax="47" xr10:uidLastSave="{00000000-0000-0000-0000-000000000000}"/>
  <bookViews>
    <workbookView xWindow="-108" yWindow="-108" windowWidth="20376" windowHeight="12216" tabRatio="899" firstSheet="22"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511" sheetId="83" r:id="rId18"/>
    <sheet name="结果表712" sheetId="84" r:id="rId19"/>
    <sheet name="结果表1805" sheetId="85" r:id="rId20"/>
    <sheet name="结果表2006" sheetId="86" r:id="rId21"/>
    <sheet name="结果表2012" sheetId="87" r:id="rId22"/>
    <sheet name="分套净值" sheetId="88" r:id="rId23"/>
    <sheet name="结果表" sheetId="9" r:id="rId24"/>
    <sheet name="成本法" sheetId="68" state="hidden" r:id="rId25"/>
    <sheet name="假设开发法" sheetId="12" state="hidden" r:id="rId26"/>
    <sheet name="收益法" sheetId="15" state="hidden" r:id="rId27"/>
    <sheet name="比较法-办公" sheetId="34" r:id="rId28"/>
    <sheet name="收益法 (元)" sheetId="67"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比较法-办公 租金" sheetId="82" r:id="rId39"/>
    <sheet name="典型户型修正" sheetId="31" r:id="rId40"/>
    <sheet name="基准地价（汇总）" sheetId="76" state="hidden" r:id="rId41"/>
    <sheet name="面积清单" sheetId="81" r:id="rId42"/>
    <sheet name="案例" sheetId="80" r:id="rId43"/>
    <sheet name="成本法 (元)" sheetId="69" r:id="rId44"/>
    <sheet name="基准地价修正" sheetId="43" r:id="rId45"/>
    <sheet name="修正" sheetId="45" state="hidden" r:id="rId46"/>
    <sheet name="容积率修正" sheetId="46" state="hidden" r:id="rId47"/>
    <sheet name="成本法（废）" sheetId="11" state="hidden" r:id="rId48"/>
    <sheet name="区片价" sheetId="44" r:id="rId49"/>
    <sheet name="因素修正幅度" sheetId="65" state="hidden" r:id="rId50"/>
    <sheet name="区片价（范围）" sheetId="75" state="hidden" r:id="rId51"/>
    <sheet name="地价-分区" sheetId="79" r:id="rId52"/>
    <sheet name="地价" sheetId="71" r:id="rId53"/>
    <sheet name="存贷款利率" sheetId="73" r:id="rId54"/>
  </sheets>
  <externalReferences>
    <externalReference r:id="rId55"/>
  </externalReferences>
  <definedNames>
    <definedName name="_xlnm._FilterDatabase" localSheetId="27" hidden="1">'比较法-办公'!$A$1:$L$50</definedName>
    <definedName name="_xlnm._FilterDatabase" localSheetId="38" hidden="1">'比较法-办公 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8">'比较法-办公 租金'!$A$1:$K$55,'比较法-办公 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4">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4">基准地价修正!$A$1:$J$44,基准地价修正!$A$47:$H$101,基准地价修正!$R$1:$V$16</definedName>
    <definedName name="_xlnm.Print_Area" localSheetId="25">假设开发法!$A$1:$K$32</definedName>
    <definedName name="_xlnm.Print_Area" localSheetId="23">结果表!$A$1:$I$127</definedName>
    <definedName name="_xlnm.Print_Area" localSheetId="17">结果表1511!$A$1:$I$127</definedName>
    <definedName name="_xlnm.Print_Area" localSheetId="19">结果表1805!$A$1:$I$127</definedName>
    <definedName name="_xlnm.Print_Area" localSheetId="20">结果表2006!$A$1:$I$127</definedName>
    <definedName name="_xlnm.Print_Area" localSheetId="21">结果表2012!$A$1:$I$127</definedName>
    <definedName name="_xlnm.Print_Area" localSheetId="18">结果表712!$A$1:$I$127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8">'比较法-办公 租金'!$B$119:$M$119</definedName>
    <definedName name="办公层高">'比较法-办公'!$B$119:$M$119</definedName>
    <definedName name="办公朝向" localSheetId="38">'比较法-办公 租金'!$B$91:$M$91</definedName>
    <definedName name="办公朝向">'比较法-办公'!$B$91:$M$91</definedName>
    <definedName name="办公道路级别" localSheetId="38">'比较法-办公 租金'!$B$87:$M$87</definedName>
    <definedName name="办公道路级别">'比较法-办公'!$B$87:$M$87</definedName>
    <definedName name="办公公共部分装修" localSheetId="38">'比较法-办公 租金'!$B$108:$M$108</definedName>
    <definedName name="办公公共部分装修">'比较法-办公'!$B$108:$M$108</definedName>
    <definedName name="办公基础设施水平" localSheetId="38">'比较法-办公 租金'!$B$117:$M$117</definedName>
    <definedName name="办公基础设施水平">'比较法-办公'!$B$117:$M$117</definedName>
    <definedName name="办公集聚程度">定义!$M$1:$M$6</definedName>
    <definedName name="办公建筑结构" localSheetId="38">'比较法-办公 租金'!$B$106:$M$106</definedName>
    <definedName name="办公建筑结构">'比较法-办公'!$B$106:$M$106</definedName>
    <definedName name="办公建筑类型" localSheetId="38">'比较法-办公 租金'!$B$101:$M$101</definedName>
    <definedName name="办公建筑类型">'比较法-办公'!$B$101:$M$101</definedName>
    <definedName name="办公交易情况" localSheetId="38">'比较法-办公 租金'!$A$62:$M$62</definedName>
    <definedName name="办公交易情况">'比较法-办公'!$A$62:$M$62</definedName>
    <definedName name="办公楼层" localSheetId="38">'比较法-办公 租金'!$B$89:$M$89</definedName>
    <definedName name="办公楼层">'比较法-办公'!$B$89:$M$89</definedName>
    <definedName name="办公内部装修" localSheetId="38">'比较法-办公 租金'!$B$123:$M$123</definedName>
    <definedName name="办公内部装修">'比较法-办公'!$B$123:$M$123</definedName>
    <definedName name="办公物业管理" localSheetId="38">'比较法-办公 租金'!$B$115:$M$115</definedName>
    <definedName name="办公物业管理">'比较法-办公'!$B$115:$M$115</definedName>
    <definedName name="办公用途" localSheetId="3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 localSheetId="38">'比较法-办公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 i="88" l="1"/>
  <c r="B3" i="88" s="1"/>
  <c r="C4" i="88"/>
  <c r="B4" i="88" s="1"/>
  <c r="C5" i="88"/>
  <c r="B5" i="88" s="1"/>
  <c r="C75" i="87"/>
  <c r="A120" i="87"/>
  <c r="B118" i="87"/>
  <c r="A118" i="87"/>
  <c r="E111" i="87"/>
  <c r="E109" i="87"/>
  <c r="A124" i="87" s="1"/>
  <c r="E107" i="87"/>
  <c r="A122" i="87" s="1"/>
  <c r="H106" i="87"/>
  <c r="H105" i="87"/>
  <c r="H104" i="87"/>
  <c r="H103" i="87"/>
  <c r="D120" i="87" s="1"/>
  <c r="D101" i="87"/>
  <c r="C101" i="87"/>
  <c r="D93" i="87"/>
  <c r="C91" i="87"/>
  <c r="E90" i="87"/>
  <c r="D89" i="87"/>
  <c r="C89" i="87" s="1"/>
  <c r="C87" i="87" s="1"/>
  <c r="D78" i="87"/>
  <c r="H77" i="87"/>
  <c r="D77" i="87"/>
  <c r="H75" i="87"/>
  <c r="C77" i="87"/>
  <c r="D68" i="87"/>
  <c r="C66" i="87"/>
  <c r="F59" i="87"/>
  <c r="E59" i="87"/>
  <c r="D59" i="87"/>
  <c r="M55" i="87" s="1"/>
  <c r="N56" i="87"/>
  <c r="M56" i="87"/>
  <c r="K56" i="87"/>
  <c r="J56" i="87"/>
  <c r="F56" i="87"/>
  <c r="O55" i="87"/>
  <c r="N55" i="87"/>
  <c r="K55" i="87"/>
  <c r="J55" i="87"/>
  <c r="J57" i="87" s="1"/>
  <c r="J59" i="87" s="1"/>
  <c r="J61" i="87" s="1"/>
  <c r="I55" i="87"/>
  <c r="F55" i="87" s="1"/>
  <c r="O53" i="87" s="1"/>
  <c r="O54" i="87"/>
  <c r="N54" i="87"/>
  <c r="F54" i="87"/>
  <c r="N53" i="87"/>
  <c r="F53" i="87"/>
  <c r="F52" i="87"/>
  <c r="K49" i="87"/>
  <c r="F48" i="87"/>
  <c r="O52" i="87" s="1"/>
  <c r="E48" i="87"/>
  <c r="N52" i="87" s="1"/>
  <c r="M47" i="87"/>
  <c r="C35" i="87"/>
  <c r="G118" i="87" s="1"/>
  <c r="F118" i="87" s="1"/>
  <c r="F119" i="87" s="1"/>
  <c r="C34" i="87"/>
  <c r="E118" i="87" s="1"/>
  <c r="D118" i="87" s="1"/>
  <c r="D119" i="87" s="1"/>
  <c r="F33" i="87"/>
  <c r="D27" i="87"/>
  <c r="C25" i="87"/>
  <c r="C24" i="87"/>
  <c r="M19" i="87"/>
  <c r="C118" i="87" s="1"/>
  <c r="L19" i="87"/>
  <c r="M18" i="87"/>
  <c r="L18" i="87"/>
  <c r="D18" i="87"/>
  <c r="C18" i="87"/>
  <c r="D17" i="87"/>
  <c r="C17" i="87"/>
  <c r="L4" i="87"/>
  <c r="K4" i="87"/>
  <c r="A2" i="87"/>
  <c r="H1" i="87"/>
  <c r="C75" i="86"/>
  <c r="A120" i="86"/>
  <c r="A118" i="86"/>
  <c r="E111" i="86"/>
  <c r="E109" i="86"/>
  <c r="A124" i="86" s="1"/>
  <c r="E107" i="86"/>
  <c r="A122" i="86" s="1"/>
  <c r="H106" i="86"/>
  <c r="H105" i="86"/>
  <c r="H104" i="86"/>
  <c r="H103" i="86"/>
  <c r="D120" i="86" s="1"/>
  <c r="D101" i="86"/>
  <c r="C101" i="86"/>
  <c r="D93" i="86"/>
  <c r="C91" i="86"/>
  <c r="E90" i="86"/>
  <c r="D89" i="86"/>
  <c r="C89" i="86" s="1"/>
  <c r="C87" i="86" s="1"/>
  <c r="D78" i="86"/>
  <c r="H77" i="86"/>
  <c r="D77" i="86"/>
  <c r="C77" i="86"/>
  <c r="H75" i="86"/>
  <c r="C76" i="86" s="1"/>
  <c r="C74" i="86" s="1"/>
  <c r="D68" i="86"/>
  <c r="C66" i="86"/>
  <c r="F59" i="86"/>
  <c r="E59" i="86"/>
  <c r="N55" i="86" s="1"/>
  <c r="D59" i="86"/>
  <c r="M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M47" i="86"/>
  <c r="C35" i="86"/>
  <c r="G118" i="86" s="1"/>
  <c r="C34" i="86"/>
  <c r="E118" i="86" s="1"/>
  <c r="F33" i="86"/>
  <c r="D27" i="86"/>
  <c r="C25" i="86"/>
  <c r="C24" i="86"/>
  <c r="M19" i="86"/>
  <c r="C118" i="86" s="1"/>
  <c r="L19" i="86"/>
  <c r="M18" i="86"/>
  <c r="B118" i="86" s="1"/>
  <c r="L18" i="86"/>
  <c r="D17" i="86"/>
  <c r="C17" i="86"/>
  <c r="C18" i="86" s="1"/>
  <c r="D18" i="86" s="1"/>
  <c r="L4" i="86"/>
  <c r="K4" i="86"/>
  <c r="A2" i="86"/>
  <c r="H1" i="86"/>
  <c r="C75" i="85"/>
  <c r="A120" i="85"/>
  <c r="A118" i="85"/>
  <c r="E111" i="85"/>
  <c r="E109" i="85"/>
  <c r="A124" i="85" s="1"/>
  <c r="E107" i="85"/>
  <c r="A122" i="85" s="1"/>
  <c r="H106" i="85"/>
  <c r="H105" i="85"/>
  <c r="H104" i="85"/>
  <c r="H103" i="85"/>
  <c r="D120" i="85" s="1"/>
  <c r="D101" i="85"/>
  <c r="C101" i="85"/>
  <c r="D93" i="85"/>
  <c r="C91" i="85"/>
  <c r="E90" i="85"/>
  <c r="D89" i="85"/>
  <c r="C89" i="85" s="1"/>
  <c r="C87" i="85" s="1"/>
  <c r="D78" i="85"/>
  <c r="H77" i="85"/>
  <c r="D77" i="85"/>
  <c r="C77" i="85"/>
  <c r="H75" i="85"/>
  <c r="C76" i="85" s="1"/>
  <c r="C74" i="85" s="1"/>
  <c r="D68" i="85"/>
  <c r="C66" i="85"/>
  <c r="F59" i="85"/>
  <c r="E59" i="85"/>
  <c r="N55" i="85" s="1"/>
  <c r="D59" i="85"/>
  <c r="M55" i="85" s="1"/>
  <c r="N56" i="85"/>
  <c r="M56" i="85"/>
  <c r="K56" i="85"/>
  <c r="J56" i="85"/>
  <c r="F56" i="85"/>
  <c r="O55" i="85"/>
  <c r="K55" i="85"/>
  <c r="J55" i="85"/>
  <c r="J57" i="85" s="1"/>
  <c r="J59" i="85" s="1"/>
  <c r="J61" i="85" s="1"/>
  <c r="I55" i="85"/>
  <c r="F55" i="85"/>
  <c r="O53" i="85" s="1"/>
  <c r="O54" i="85"/>
  <c r="N54" i="85"/>
  <c r="F54" i="85"/>
  <c r="N53" i="85"/>
  <c r="F53" i="85"/>
  <c r="F52" i="85"/>
  <c r="K49" i="85"/>
  <c r="F48" i="85"/>
  <c r="O52" i="85" s="1"/>
  <c r="E48" i="85"/>
  <c r="N52" i="85" s="1"/>
  <c r="M47" i="85"/>
  <c r="C35" i="85"/>
  <c r="G118" i="85" s="1"/>
  <c r="C34" i="85"/>
  <c r="E118" i="85" s="1"/>
  <c r="F33" i="85"/>
  <c r="D27" i="85"/>
  <c r="C25" i="85"/>
  <c r="C24" i="85"/>
  <c r="M19" i="85"/>
  <c r="C118" i="85" s="1"/>
  <c r="L19" i="85"/>
  <c r="M18" i="85"/>
  <c r="B118" i="85" s="1"/>
  <c r="L18" i="85"/>
  <c r="D17" i="85"/>
  <c r="C17" i="85"/>
  <c r="C18" i="85" s="1"/>
  <c r="D18" i="85" s="1"/>
  <c r="L4" i="85"/>
  <c r="K4" i="85"/>
  <c r="A2" i="85"/>
  <c r="H1" i="85"/>
  <c r="C75" i="84"/>
  <c r="A120" i="84"/>
  <c r="A118" i="84"/>
  <c r="E111" i="84"/>
  <c r="E109" i="84"/>
  <c r="A124" i="84" s="1"/>
  <c r="E107" i="84"/>
  <c r="A122" i="84" s="1"/>
  <c r="H106" i="84"/>
  <c r="H105" i="84"/>
  <c r="H104" i="84"/>
  <c r="H103" i="84"/>
  <c r="D120" i="84" s="1"/>
  <c r="D101" i="84"/>
  <c r="C101" i="84"/>
  <c r="D93" i="84"/>
  <c r="C91" i="84"/>
  <c r="E90" i="84"/>
  <c r="D89" i="84"/>
  <c r="C89" i="84" s="1"/>
  <c r="C87" i="84" s="1"/>
  <c r="D78" i="84"/>
  <c r="H77" i="84"/>
  <c r="D77" i="84"/>
  <c r="H75" i="84"/>
  <c r="C76" i="84" s="1"/>
  <c r="C77" i="84"/>
  <c r="D68" i="84"/>
  <c r="C66" i="84"/>
  <c r="F59" i="84"/>
  <c r="E59" i="84"/>
  <c r="N55" i="84" s="1"/>
  <c r="D59" i="84"/>
  <c r="M55" i="84" s="1"/>
  <c r="N56" i="84"/>
  <c r="M56" i="84"/>
  <c r="K56" i="84"/>
  <c r="J56" i="84"/>
  <c r="F56" i="84"/>
  <c r="O55" i="84"/>
  <c r="K55" i="84"/>
  <c r="J55" i="84"/>
  <c r="J57" i="84" s="1"/>
  <c r="J59" i="84" s="1"/>
  <c r="J61" i="84" s="1"/>
  <c r="I55" i="84"/>
  <c r="F55" i="84"/>
  <c r="O54" i="84"/>
  <c r="N54" i="84"/>
  <c r="F54" i="84"/>
  <c r="O53" i="84"/>
  <c r="N53" i="84"/>
  <c r="F53" i="84"/>
  <c r="F52" i="84"/>
  <c r="K49" i="84"/>
  <c r="F48" i="84"/>
  <c r="O52" i="84" s="1"/>
  <c r="E48" i="84"/>
  <c r="N52" i="84" s="1"/>
  <c r="M47" i="84"/>
  <c r="C35" i="84"/>
  <c r="G118" i="84" s="1"/>
  <c r="C34" i="84"/>
  <c r="E118" i="84" s="1"/>
  <c r="F33" i="84"/>
  <c r="D27" i="84"/>
  <c r="C25" i="84"/>
  <c r="C24" i="84"/>
  <c r="M19" i="84"/>
  <c r="C118" i="84" s="1"/>
  <c r="L19" i="84"/>
  <c r="M18" i="84"/>
  <c r="B118" i="84" s="1"/>
  <c r="L18" i="84"/>
  <c r="D17" i="84"/>
  <c r="C17" i="84"/>
  <c r="C18" i="84" s="1"/>
  <c r="D18" i="84" s="1"/>
  <c r="L4" i="84"/>
  <c r="K4" i="84"/>
  <c r="A2" i="84"/>
  <c r="H1" i="84"/>
  <c r="C75" i="83"/>
  <c r="A120" i="83"/>
  <c r="E118" i="83"/>
  <c r="A118" i="83"/>
  <c r="E111" i="83"/>
  <c r="E109" i="83"/>
  <c r="A124" i="83" s="1"/>
  <c r="E107" i="83"/>
  <c r="A122" i="83" s="1"/>
  <c r="H106" i="83"/>
  <c r="H105" i="83"/>
  <c r="H104" i="83"/>
  <c r="H103" i="83"/>
  <c r="D120" i="83" s="1"/>
  <c r="D101" i="83"/>
  <c r="C101" i="83"/>
  <c r="D93" i="83"/>
  <c r="C91" i="83"/>
  <c r="E90" i="83"/>
  <c r="D89" i="83"/>
  <c r="C89" i="83" s="1"/>
  <c r="C87" i="83" s="1"/>
  <c r="D78" i="83"/>
  <c r="H77" i="83"/>
  <c r="D77" i="83"/>
  <c r="H75" i="83"/>
  <c r="C76" i="83" s="1"/>
  <c r="C77" i="83"/>
  <c r="D68" i="83"/>
  <c r="C66" i="83"/>
  <c r="F59" i="83"/>
  <c r="E59" i="83"/>
  <c r="N55" i="83" s="1"/>
  <c r="D59" i="83"/>
  <c r="M55" i="83" s="1"/>
  <c r="N56" i="83"/>
  <c r="M56" i="83"/>
  <c r="K56" i="83"/>
  <c r="J56" i="83"/>
  <c r="F56" i="83"/>
  <c r="O55" i="83"/>
  <c r="K55" i="83"/>
  <c r="J55" i="83"/>
  <c r="J57" i="83" s="1"/>
  <c r="J59" i="83" s="1"/>
  <c r="J61" i="83" s="1"/>
  <c r="I55" i="83"/>
  <c r="F55" i="83" s="1"/>
  <c r="O53" i="83" s="1"/>
  <c r="O54" i="83"/>
  <c r="N54" i="83"/>
  <c r="F54" i="83"/>
  <c r="N53" i="83"/>
  <c r="F53" i="83"/>
  <c r="F52" i="83"/>
  <c r="K49" i="83"/>
  <c r="F48" i="83"/>
  <c r="O52" i="83" s="1"/>
  <c r="E48" i="83"/>
  <c r="N52" i="83" s="1"/>
  <c r="M47" i="83"/>
  <c r="C35" i="83"/>
  <c r="G118" i="83" s="1"/>
  <c r="C34" i="83"/>
  <c r="F33" i="83"/>
  <c r="D27" i="83"/>
  <c r="C25" i="83"/>
  <c r="C24" i="83"/>
  <c r="M19" i="83"/>
  <c r="C118" i="83" s="1"/>
  <c r="L19" i="83"/>
  <c r="M18" i="83"/>
  <c r="B118" i="83" s="1"/>
  <c r="L18" i="83"/>
  <c r="D17" i="83"/>
  <c r="C17" i="83"/>
  <c r="C18" i="83" s="1"/>
  <c r="D18" i="83" s="1"/>
  <c r="L4" i="83"/>
  <c r="K4" i="83"/>
  <c r="A2" i="83"/>
  <c r="H1" i="83"/>
  <c r="F105" i="82"/>
  <c r="C19" i="87"/>
  <c r="C20" i="87"/>
  <c r="C19" i="86"/>
  <c r="C20" i="86"/>
  <c r="C19" i="85"/>
  <c r="C20" i="85"/>
  <c r="C19" i="84"/>
  <c r="C20" i="84"/>
  <c r="C19" i="83"/>
  <c r="C20" i="83"/>
  <c r="C103" i="87" l="1"/>
  <c r="C102" i="87"/>
  <c r="C21" i="87"/>
  <c r="D121" i="87"/>
  <c r="K120" i="87"/>
  <c r="C92" i="87"/>
  <c r="C94" i="87"/>
  <c r="C76" i="87"/>
  <c r="C74" i="87" s="1"/>
  <c r="A126" i="87"/>
  <c r="F118" i="86"/>
  <c r="F119" i="86" s="1"/>
  <c r="H109" i="87"/>
  <c r="D118" i="86"/>
  <c r="D119" i="86" s="1"/>
  <c r="C103" i="86"/>
  <c r="C102" i="86"/>
  <c r="C21" i="86"/>
  <c r="D121" i="86"/>
  <c r="K120" i="86"/>
  <c r="C92" i="86"/>
  <c r="C94" i="86"/>
  <c r="F118" i="85"/>
  <c r="F119" i="85" s="1"/>
  <c r="A126" i="86"/>
  <c r="H109" i="86"/>
  <c r="D118" i="85"/>
  <c r="D119" i="85" s="1"/>
  <c r="C103" i="85"/>
  <c r="C102" i="85"/>
  <c r="C21" i="85"/>
  <c r="C92" i="85"/>
  <c r="C94" i="85"/>
  <c r="D121" i="85"/>
  <c r="K120" i="85"/>
  <c r="A126" i="85"/>
  <c r="H109" i="85"/>
  <c r="F118" i="84"/>
  <c r="F119" i="84" s="1"/>
  <c r="D118" i="84"/>
  <c r="D119" i="84" s="1"/>
  <c r="C103" i="84"/>
  <c r="C102" i="84"/>
  <c r="C21" i="84"/>
  <c r="C92" i="84"/>
  <c r="C94" i="84"/>
  <c r="D121" i="84"/>
  <c r="K120" i="84"/>
  <c r="A126" i="84"/>
  <c r="F118" i="83"/>
  <c r="F119" i="83" s="1"/>
  <c r="D118" i="83"/>
  <c r="D119" i="83" s="1"/>
  <c r="C74" i="84"/>
  <c r="H109" i="84"/>
  <c r="C103" i="83"/>
  <c r="C102" i="83"/>
  <c r="C21" i="83"/>
  <c r="D121" i="83"/>
  <c r="K120" i="83"/>
  <c r="C92" i="83"/>
  <c r="C94" i="83"/>
  <c r="A126" i="83"/>
  <c r="C74" i="83"/>
  <c r="H109" i="83"/>
  <c r="L9" i="81"/>
  <c r="K27" i="82"/>
  <c r="D124" i="87" l="1"/>
  <c r="D125" i="87" s="1"/>
  <c r="H110" i="87"/>
  <c r="D124" i="86"/>
  <c r="D125" i="86" s="1"/>
  <c r="H110" i="86"/>
  <c r="D124" i="85"/>
  <c r="D125" i="85" s="1"/>
  <c r="H110" i="85"/>
  <c r="D124" i="84"/>
  <c r="D125" i="84" s="1"/>
  <c r="H110" i="84"/>
  <c r="D124" i="83"/>
  <c r="D125" i="83" s="1"/>
  <c r="H110" i="83"/>
  <c r="C75" i="9"/>
  <c r="C66" i="9"/>
  <c r="H75" i="9"/>
  <c r="E21" i="81"/>
  <c r="F21" i="81"/>
  <c r="D21" i="81"/>
  <c r="F19" i="81"/>
  <c r="E19" i="81"/>
  <c r="D19" i="81"/>
  <c r="T9" i="31"/>
  <c r="D9" i="31"/>
  <c r="E9" i="31"/>
  <c r="F9" i="31"/>
  <c r="C9" i="31"/>
  <c r="D7" i="31"/>
  <c r="C7" i="31"/>
  <c r="T5" i="31"/>
  <c r="D5" i="31"/>
  <c r="E5" i="31"/>
  <c r="C5" i="31"/>
  <c r="D4" i="31"/>
  <c r="E4" i="31"/>
  <c r="G4" i="31"/>
  <c r="H4" i="31"/>
  <c r="D3" i="31"/>
  <c r="E3" i="31"/>
  <c r="F3" i="31"/>
  <c r="G3" i="31"/>
  <c r="H3" i="31"/>
  <c r="C3" i="31"/>
  <c r="I48" i="82"/>
  <c r="I55" i="82" s="1"/>
  <c r="J55" i="82" s="1"/>
  <c r="I34" i="82"/>
  <c r="G48" i="82"/>
  <c r="G34" i="82"/>
  <c r="E48" i="82"/>
  <c r="R48" i="82" s="1"/>
  <c r="E34" i="82"/>
  <c r="B131" i="82"/>
  <c r="B129" i="82"/>
  <c r="B127" i="82"/>
  <c r="D126" i="82"/>
  <c r="E126" i="82" s="1"/>
  <c r="F126" i="82" s="1"/>
  <c r="G126" i="82" s="1"/>
  <c r="D124" i="82"/>
  <c r="E124" i="82" s="1"/>
  <c r="E120" i="82"/>
  <c r="F120" i="82" s="1"/>
  <c r="G120" i="82" s="1"/>
  <c r="H120" i="82" s="1"/>
  <c r="I120" i="82" s="1"/>
  <c r="J120" i="82" s="1"/>
  <c r="K120" i="82" s="1"/>
  <c r="L120" i="82" s="1"/>
  <c r="M120" i="82" s="1"/>
  <c r="D120" i="82"/>
  <c r="E118" i="82"/>
  <c r="F118" i="82" s="1"/>
  <c r="G118" i="82" s="1"/>
  <c r="D118"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P48" i="82"/>
  <c r="V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F43" i="82"/>
  <c r="AA43" i="82" s="1"/>
  <c r="Q42" i="82"/>
  <c r="Z42" i="82" s="1"/>
  <c r="J42" i="82"/>
  <c r="AC42" i="82" s="1"/>
  <c r="H42" i="82"/>
  <c r="AB42" i="82" s="1"/>
  <c r="F42" i="82"/>
  <c r="AA42" i="82" s="1"/>
  <c r="Q41" i="82"/>
  <c r="Z41" i="82" s="1"/>
  <c r="J41" i="82"/>
  <c r="AC41" i="82" s="1"/>
  <c r="H41" i="82"/>
  <c r="AB41" i="82" s="1"/>
  <c r="F41" i="82"/>
  <c r="S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H36" i="82"/>
  <c r="AB36" i="82" s="1"/>
  <c r="F36" i="82"/>
  <c r="AA36" i="82" s="1"/>
  <c r="Q35" i="82"/>
  <c r="Z35" i="82" s="1"/>
  <c r="J35" i="82"/>
  <c r="W35" i="82" s="1"/>
  <c r="H35" i="82"/>
  <c r="AB35" i="82" s="1"/>
  <c r="F35" i="82"/>
  <c r="AA35" i="82" s="1"/>
  <c r="Q34" i="82"/>
  <c r="Z34" i="82" s="1"/>
  <c r="Q33" i="82"/>
  <c r="Z33" i="82" s="1"/>
  <c r="J33" i="82"/>
  <c r="AC33" i="82" s="1"/>
  <c r="H33" i="82"/>
  <c r="AB33" i="82" s="1"/>
  <c r="F33" i="82"/>
  <c r="S33" i="82" s="1"/>
  <c r="Z32" i="82"/>
  <c r="Q32" i="82"/>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F29" i="82"/>
  <c r="AA29" i="82" s="1"/>
  <c r="Q28" i="82"/>
  <c r="Z28" i="82" s="1"/>
  <c r="J28" i="82"/>
  <c r="AC28" i="82" s="1"/>
  <c r="H28" i="82"/>
  <c r="AB28" i="82" s="1"/>
  <c r="F28" i="82"/>
  <c r="AA28" i="82" s="1"/>
  <c r="Z27" i="82"/>
  <c r="Q27" i="82"/>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I5" i="82"/>
  <c r="G5" i="82"/>
  <c r="E5" i="82"/>
  <c r="I48" i="34"/>
  <c r="F105" i="34"/>
  <c r="F4" i="31" s="1"/>
  <c r="C4" i="31"/>
  <c r="G48" i="34"/>
  <c r="I34" i="34"/>
  <c r="G34" i="34"/>
  <c r="E48" i="34"/>
  <c r="E34" i="34"/>
  <c r="D13" i="81"/>
  <c r="D11" i="81" s="1"/>
  <c r="I5" i="34"/>
  <c r="G5" i="34"/>
  <c r="E5" i="34"/>
  <c r="J49" i="67"/>
  <c r="I14" i="3"/>
  <c r="I15" i="3"/>
  <c r="I16" i="3"/>
  <c r="I17" i="3"/>
  <c r="I13" i="3"/>
  <c r="C14" i="3"/>
  <c r="C19" i="6" s="1"/>
  <c r="D3" i="82" s="1"/>
  <c r="C15" i="3"/>
  <c r="A26" i="31" s="1"/>
  <c r="C16" i="3"/>
  <c r="A27" i="31" s="1"/>
  <c r="C17" i="3"/>
  <c r="A28" i="31" s="1"/>
  <c r="C13" i="3"/>
  <c r="A25" i="31" s="1"/>
  <c r="O18" i="1"/>
  <c r="L22" i="1"/>
  <c r="N6" i="1" s="1"/>
  <c r="L20" i="1"/>
  <c r="M5" i="81"/>
  <c r="M6" i="81"/>
  <c r="M7" i="81"/>
  <c r="M8" i="81"/>
  <c r="M4" i="81"/>
  <c r="H9" i="81"/>
  <c r="B21" i="1"/>
  <c r="B57" i="1"/>
  <c r="D3" i="4"/>
  <c r="G14" i="73"/>
  <c r="F14" i="73"/>
  <c r="E14" i="73"/>
  <c r="D2" i="82"/>
  <c r="C37" i="34" l="1"/>
  <c r="C37" i="82"/>
  <c r="Y6" i="1"/>
  <c r="D12" i="81"/>
  <c r="AA33" i="82"/>
  <c r="U30" i="82"/>
  <c r="AC35" i="82"/>
  <c r="AA41" i="82"/>
  <c r="U46" i="82"/>
  <c r="W47" i="82"/>
  <c r="J27" i="82"/>
  <c r="W27" i="82" s="1"/>
  <c r="H27" i="82"/>
  <c r="U27" i="82" s="1"/>
  <c r="E55" i="82"/>
  <c r="F55" i="82" s="1"/>
  <c r="G55" i="82"/>
  <c r="H55" i="82" s="1"/>
  <c r="F90" i="82"/>
  <c r="G90" i="82" s="1"/>
  <c r="H90" i="82" s="1"/>
  <c r="I90" i="82" s="1"/>
  <c r="J90" i="82" s="1"/>
  <c r="K90" i="82" s="1"/>
  <c r="L90" i="82" s="1"/>
  <c r="M90" i="82" s="1"/>
  <c r="F27" i="82"/>
  <c r="S27" i="82" s="1"/>
  <c r="U8" i="82"/>
  <c r="AC8" i="82"/>
  <c r="S10" i="82"/>
  <c r="U11" i="82"/>
  <c r="W12" i="82"/>
  <c r="S14" i="82"/>
  <c r="S15" i="82"/>
  <c r="S17" i="82"/>
  <c r="S19" i="82"/>
  <c r="S21" i="82"/>
  <c r="S23" i="82"/>
  <c r="U25" i="82"/>
  <c r="W39" i="82"/>
  <c r="J29" i="82"/>
  <c r="H29" i="82"/>
  <c r="H43" i="82"/>
  <c r="F124" i="82"/>
  <c r="G124" i="82" s="1"/>
  <c r="H124" i="82" s="1"/>
  <c r="I124" i="82" s="1"/>
  <c r="J124" i="82" s="1"/>
  <c r="K124" i="82" s="1"/>
  <c r="L124" i="82" s="1"/>
  <c r="M124" i="82" s="1"/>
  <c r="S9" i="82"/>
  <c r="U10" i="82"/>
  <c r="W11" i="82"/>
  <c r="S13" i="82"/>
  <c r="U14" i="82"/>
  <c r="U15" i="82"/>
  <c r="U17" i="82"/>
  <c r="U19" i="82"/>
  <c r="U21" i="82"/>
  <c r="U23" i="82"/>
  <c r="W25" i="82"/>
  <c r="G37" i="82"/>
  <c r="H37" i="82" s="1"/>
  <c r="I37" i="82"/>
  <c r="J37" i="82" s="1"/>
  <c r="E37" i="82"/>
  <c r="F37" i="82" s="1"/>
  <c r="U42" i="82"/>
  <c r="S45" i="82"/>
  <c r="AA8" i="82"/>
  <c r="U9" i="82"/>
  <c r="W10" i="82"/>
  <c r="S12" i="82"/>
  <c r="U13" i="82"/>
  <c r="W14" i="82"/>
  <c r="W15" i="82"/>
  <c r="W17" i="82"/>
  <c r="W19" i="82"/>
  <c r="W21" i="82"/>
  <c r="W23" i="82"/>
  <c r="S29" i="82"/>
  <c r="W31" i="82"/>
  <c r="U38" i="82"/>
  <c r="W43" i="82"/>
  <c r="W9" i="82"/>
  <c r="S11" i="82"/>
  <c r="U12" i="82"/>
  <c r="W13" i="82"/>
  <c r="S25" i="82"/>
  <c r="AB27" i="82"/>
  <c r="S28" i="82"/>
  <c r="W30" i="82"/>
  <c r="S32" i="82"/>
  <c r="U33" i="82"/>
  <c r="S36" i="82"/>
  <c r="W38" i="82"/>
  <c r="S40" i="82"/>
  <c r="U41" i="82"/>
  <c r="W42" i="82"/>
  <c r="S44" i="82"/>
  <c r="U45" i="82"/>
  <c r="W46" i="82"/>
  <c r="U28" i="82"/>
  <c r="S31" i="82"/>
  <c r="U32" i="82"/>
  <c r="W33" i="82"/>
  <c r="S35" i="82"/>
  <c r="U36" i="82"/>
  <c r="S39" i="82"/>
  <c r="U40" i="82"/>
  <c r="W41" i="82"/>
  <c r="S43" i="82"/>
  <c r="U44" i="82"/>
  <c r="W45" i="82"/>
  <c r="S47" i="82"/>
  <c r="T48" i="82"/>
  <c r="W28" i="82"/>
  <c r="S30" i="82"/>
  <c r="U31" i="82"/>
  <c r="W32" i="82"/>
  <c r="U35" i="82"/>
  <c r="W36" i="82"/>
  <c r="S38" i="82"/>
  <c r="U39" i="82"/>
  <c r="W40" i="82"/>
  <c r="S42" i="82"/>
  <c r="W44" i="82"/>
  <c r="S46" i="82"/>
  <c r="U47"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AC27" i="82" l="1"/>
  <c r="G37" i="34"/>
  <c r="E37" i="34"/>
  <c r="I37" i="34"/>
  <c r="AA27" i="82"/>
  <c r="AC29" i="82"/>
  <c r="W29" i="82"/>
  <c r="AC37" i="82"/>
  <c r="W37" i="82"/>
  <c r="AB37" i="82"/>
  <c r="U37" i="82"/>
  <c r="AA37" i="82"/>
  <c r="S37" i="82"/>
  <c r="AB43" i="82"/>
  <c r="U43" i="82"/>
  <c r="AB29" i="82"/>
  <c r="U29" i="82"/>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AA28" i="79"/>
  <c r="AD28" i="79" s="1"/>
  <c r="S42" i="79"/>
  <c r="Z3" i="79"/>
  <c r="T34" i="79"/>
  <c r="W34" i="79" s="1"/>
  <c r="U40" i="79"/>
  <c r="AD41"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c r="Q38" i="71"/>
  <c r="P38" i="71"/>
  <c r="AA38" i="71" s="1"/>
  <c r="O38" i="71"/>
  <c r="N38" i="71"/>
  <c r="X38" i="71" s="1"/>
  <c r="Q37" i="71"/>
  <c r="P37" i="71"/>
  <c r="AA37" i="71" s="1"/>
  <c r="O37" i="71"/>
  <c r="Y37" i="71" s="1"/>
  <c r="Z37" i="71" s="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O33" i="71"/>
  <c r="C34" i="71" s="1"/>
  <c r="N33" i="71"/>
  <c r="D33" i="71"/>
  <c r="Q32" i="71"/>
  <c r="AB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E38" i="71"/>
  <c r="E39" i="71" s="1"/>
  <c r="E40" i="71" s="1"/>
  <c r="U40" i="71" s="1"/>
  <c r="N68" i="71"/>
  <c r="C30" i="71"/>
  <c r="AA35" i="71"/>
  <c r="B28" i="71"/>
  <c r="B27" i="71" s="1"/>
  <c r="B26" i="71" s="1"/>
  <c r="D30" i="71"/>
  <c r="C43" i="71"/>
  <c r="C44" i="71" s="1"/>
  <c r="P28" i="71"/>
  <c r="E28" i="71" s="1"/>
  <c r="U68" i="71"/>
  <c r="E67" i="71"/>
  <c r="Q28" i="71"/>
  <c r="AB25" i="71" s="1"/>
  <c r="D58" i="71"/>
  <c r="B66" i="71"/>
  <c r="N65" i="71" s="1"/>
  <c r="Q68" i="71"/>
  <c r="E71" i="71"/>
  <c r="E70" i="71" s="1"/>
  <c r="D72" i="71"/>
  <c r="D80" i="71"/>
  <c r="C87" i="71"/>
  <c r="C86" i="71" s="1"/>
  <c r="D86" i="71" s="1"/>
  <c r="AA28" i="71"/>
  <c r="N66" i="71"/>
  <c r="P67" i="71"/>
  <c r="E66" i="71"/>
  <c r="P65" i="71" s="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68" i="43"/>
  <c r="C29" i="39"/>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5" i="40"/>
  <c r="U29" i="39"/>
  <c r="W29" i="39"/>
  <c r="S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A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R188" i="31"/>
  <c r="S188" i="31" s="1"/>
  <c r="R189" i="3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B25" i="31"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45" i="31"/>
  <c r="E61" i="31"/>
  <c r="E62" i="31"/>
  <c r="E76" i="31"/>
  <c r="E86" i="31"/>
  <c r="E88" i="31"/>
  <c r="E97" i="31"/>
  <c r="E108" i="31"/>
  <c r="E109" i="31"/>
  <c r="E118" i="31"/>
  <c r="E126" i="31"/>
  <c r="E127" i="31"/>
  <c r="E134" i="31"/>
  <c r="E142" i="31"/>
  <c r="E143" i="31"/>
  <c r="E150" i="31"/>
  <c r="E158" i="31"/>
  <c r="E159" i="31"/>
  <c r="E166" i="31"/>
  <c r="E174" i="31"/>
  <c r="E175" i="31"/>
  <c r="E182" i="31"/>
  <c r="E190" i="31"/>
  <c r="E191" i="31"/>
  <c r="E198" i="31"/>
  <c r="E206" i="31"/>
  <c r="E207" i="31"/>
  <c r="E214" i="31"/>
  <c r="E222" i="31"/>
  <c r="E223" i="31"/>
  <c r="E230" i="31"/>
  <c r="E238" i="31"/>
  <c r="E239" i="31"/>
  <c r="E246" i="31"/>
  <c r="E254" i="31"/>
  <c r="E255" i="31"/>
  <c r="E262" i="31"/>
  <c r="E270" i="31"/>
  <c r="E271" i="31"/>
  <c r="E278" i="31"/>
  <c r="E286" i="31"/>
  <c r="E287" i="31"/>
  <c r="E293" i="31"/>
  <c r="E298" i="31"/>
  <c r="E299" i="31"/>
  <c r="E302" i="31"/>
  <c r="E305" i="31"/>
  <c r="E307" i="31"/>
  <c r="E309" i="31"/>
  <c r="E313" i="31"/>
  <c r="E314" i="31"/>
  <c r="E315" i="31"/>
  <c r="E319" i="31"/>
  <c r="E321" i="31"/>
  <c r="E322" i="31"/>
  <c r="E325" i="31"/>
  <c r="E326" i="31"/>
  <c r="E327" i="31"/>
  <c r="E329" i="31"/>
  <c r="E330" i="31"/>
  <c r="E331" i="31"/>
  <c r="E333" i="31"/>
  <c r="E334" i="31"/>
  <c r="E335" i="31"/>
  <c r="E337" i="31"/>
  <c r="E338" i="31"/>
  <c r="E339" i="31"/>
  <c r="E341" i="31"/>
  <c r="E342" i="31"/>
  <c r="E343" i="31"/>
  <c r="E345" i="31"/>
  <c r="E346" i="31"/>
  <c r="E347" i="31"/>
  <c r="E349" i="31"/>
  <c r="E350" i="31"/>
  <c r="E351" i="31"/>
  <c r="E353" i="31"/>
  <c r="E354" i="31"/>
  <c r="E355" i="31"/>
  <c r="E357" i="31"/>
  <c r="E358" i="31"/>
  <c r="E359" i="31"/>
  <c r="E361" i="31"/>
  <c r="E362" i="31"/>
  <c r="E363" i="31"/>
  <c r="E365" i="31"/>
  <c r="E366" i="31"/>
  <c r="E367" i="31"/>
  <c r="E369" i="31"/>
  <c r="E370" i="31"/>
  <c r="E371" i="31"/>
  <c r="E373" i="31"/>
  <c r="E374" i="31"/>
  <c r="E375" i="31"/>
  <c r="E377" i="31"/>
  <c r="E378" i="31"/>
  <c r="E379" i="31"/>
  <c r="E381" i="31"/>
  <c r="E382" i="31"/>
  <c r="E383" i="31"/>
  <c r="E385" i="31"/>
  <c r="E386" i="31"/>
  <c r="E387" i="31"/>
  <c r="E389" i="31"/>
  <c r="E390" i="31"/>
  <c r="E391" i="31"/>
  <c r="E393" i="31"/>
  <c r="E394" i="31"/>
  <c r="E395" i="31"/>
  <c r="E397" i="31"/>
  <c r="E398" i="31"/>
  <c r="E399" i="31"/>
  <c r="E401" i="31"/>
  <c r="E402" i="31"/>
  <c r="E403" i="31"/>
  <c r="E405" i="31"/>
  <c r="E406" i="31"/>
  <c r="E407" i="31"/>
  <c r="E409" i="31"/>
  <c r="E410" i="31"/>
  <c r="E411" i="31"/>
  <c r="E413" i="31"/>
  <c r="E414" i="31"/>
  <c r="E415" i="31"/>
  <c r="E417" i="31"/>
  <c r="E418" i="31"/>
  <c r="E419" i="31"/>
  <c r="E421" i="31"/>
  <c r="E422" i="31"/>
  <c r="E423" i="31"/>
  <c r="E425" i="31"/>
  <c r="E426" i="31"/>
  <c r="E427" i="31"/>
  <c r="E429" i="31"/>
  <c r="E430" i="31"/>
  <c r="E431" i="31"/>
  <c r="E433" i="31"/>
  <c r="E434" i="31"/>
  <c r="E435" i="31"/>
  <c r="E437" i="31"/>
  <c r="E438" i="31"/>
  <c r="E439" i="31"/>
  <c r="E441" i="31"/>
  <c r="E442" i="31"/>
  <c r="E443" i="31"/>
  <c r="E445" i="31"/>
  <c r="E446" i="31"/>
  <c r="E447" i="31"/>
  <c r="E449" i="31"/>
  <c r="E450" i="31"/>
  <c r="E451" i="31"/>
  <c r="E453" i="31"/>
  <c r="E454" i="31"/>
  <c r="E455" i="31"/>
  <c r="E457" i="31"/>
  <c r="E458" i="31"/>
  <c r="E459" i="31"/>
  <c r="E461" i="31"/>
  <c r="E462" i="31"/>
  <c r="E463" i="31"/>
  <c r="E465" i="31"/>
  <c r="E466" i="31"/>
  <c r="E467" i="31"/>
  <c r="E469" i="31"/>
  <c r="E470" i="31"/>
  <c r="E471" i="31"/>
  <c r="E473" i="31"/>
  <c r="E474" i="31"/>
  <c r="E475" i="31"/>
  <c r="E477" i="31"/>
  <c r="E478" i="31"/>
  <c r="E479" i="31"/>
  <c r="E481" i="31"/>
  <c r="E482" i="31"/>
  <c r="E483" i="31"/>
  <c r="E485" i="31"/>
  <c r="E486" i="31"/>
  <c r="E487" i="31"/>
  <c r="E489" i="31"/>
  <c r="E490" i="31"/>
  <c r="E491" i="31"/>
  <c r="E493" i="31"/>
  <c r="E494" i="31"/>
  <c r="E495" i="31"/>
  <c r="E497" i="31"/>
  <c r="E498" i="31"/>
  <c r="E499" i="31"/>
  <c r="E501" i="31"/>
  <c r="E502" i="31"/>
  <c r="E503" i="31"/>
  <c r="E505" i="31"/>
  <c r="E506" i="31"/>
  <c r="E507" i="31"/>
  <c r="E509" i="31"/>
  <c r="E510" i="31"/>
  <c r="E511" i="31"/>
  <c r="E513" i="31"/>
  <c r="E514" i="31"/>
  <c r="E515" i="31"/>
  <c r="E517" i="31"/>
  <c r="E518" i="31"/>
  <c r="E519" i="31"/>
  <c r="E521" i="31"/>
  <c r="E522" i="31"/>
  <c r="E523" i="31"/>
  <c r="E26" i="31"/>
  <c r="E27" i="31"/>
  <c r="E28" i="31"/>
  <c r="P23" i="31"/>
  <c r="N23" i="31"/>
  <c r="L23" i="31"/>
  <c r="J23" i="31"/>
  <c r="H23" i="31"/>
  <c r="F23" i="31"/>
  <c r="Q25" i="31"/>
  <c r="O25" i="31"/>
  <c r="M25" i="31"/>
  <c r="K25" i="31"/>
  <c r="G25" i="31"/>
  <c r="E25" i="31"/>
  <c r="S251" i="31"/>
  <c r="S239" i="31"/>
  <c r="S221" i="31"/>
  <c r="S215" i="31"/>
  <c r="S195" i="31"/>
  <c r="S189" i="31"/>
  <c r="S187" i="31"/>
  <c r="S179" i="31"/>
  <c r="S173" i="31"/>
  <c r="S167" i="31"/>
  <c r="S159" i="31"/>
  <c r="S151" i="31"/>
  <c r="S141" i="31"/>
  <c r="S131" i="31"/>
  <c r="S123" i="31"/>
  <c r="S443" i="31"/>
  <c r="S433" i="31"/>
  <c r="S115" i="31"/>
  <c r="S47" i="31"/>
  <c r="S67" i="31"/>
  <c r="S59" i="31"/>
  <c r="S87" i="31"/>
  <c r="S79" i="31"/>
  <c r="S103"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E113" i="33" s="1"/>
  <c r="F113" i="33" s="1"/>
  <c r="F37" i="33"/>
  <c r="D111" i="33"/>
  <c r="E111" i="33"/>
  <c r="F111" i="33"/>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s="1"/>
  <c r="B73" i="35"/>
  <c r="J23" i="35" s="1"/>
  <c r="AC23" i="35" s="1"/>
  <c r="H23" i="35"/>
  <c r="U23" i="35" s="1"/>
  <c r="B57" i="35"/>
  <c r="B61" i="35"/>
  <c r="B59" i="35"/>
  <c r="F12" i="35" s="1"/>
  <c r="B131" i="34"/>
  <c r="J47" i="34" s="1"/>
  <c r="B129" i="34"/>
  <c r="B127" i="34"/>
  <c r="B99" i="34"/>
  <c r="B97" i="34"/>
  <c r="B95" i="34"/>
  <c r="B93" i="34"/>
  <c r="B75" i="34"/>
  <c r="B73" i="34"/>
  <c r="H13" i="34" s="1"/>
  <c r="U13" i="34" s="1"/>
  <c r="B71" i="34"/>
  <c r="J12" i="34" s="1"/>
  <c r="W12" i="34" s="1"/>
  <c r="B130" i="33"/>
  <c r="B128" i="33"/>
  <c r="B126" i="33"/>
  <c r="B98" i="33"/>
  <c r="B96" i="33"/>
  <c r="B94" i="33"/>
  <c r="B74" i="33"/>
  <c r="B72" i="33"/>
  <c r="B70" i="33"/>
  <c r="J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F12" i="34"/>
  <c r="S12" i="34" s="1"/>
  <c r="Q11" i="34"/>
  <c r="Z11" i="34" s="1"/>
  <c r="Q10" i="34"/>
  <c r="Z10" i="34"/>
  <c r="F10" i="34"/>
  <c r="AA10" i="34" s="1"/>
  <c r="Q9" i="34"/>
  <c r="Z9" i="34" s="1"/>
  <c r="J9" i="34"/>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AC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H46" i="21" s="1"/>
  <c r="U46" i="21" s="1"/>
  <c r="B128" i="2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F36" i="39"/>
  <c r="S36" i="39" s="1"/>
  <c r="H36" i="39"/>
  <c r="AB36" i="39" s="1"/>
  <c r="F35" i="39"/>
  <c r="AA35"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H22" i="35"/>
  <c r="AB22" i="35"/>
  <c r="U34" i="35"/>
  <c r="F36" i="34"/>
  <c r="S36" i="34" s="1"/>
  <c r="J35" i="34"/>
  <c r="AC35" i="34" s="1"/>
  <c r="H39" i="33"/>
  <c r="AB39" i="33"/>
  <c r="F26" i="33"/>
  <c r="AA26" i="33" s="1"/>
  <c r="U35" i="33"/>
  <c r="S40" i="33"/>
  <c r="W33" i="33"/>
  <c r="W39" i="33"/>
  <c r="H39" i="37"/>
  <c r="AB39" i="37" s="1"/>
  <c r="S27" i="35"/>
  <c r="F11" i="40"/>
  <c r="AA11" i="40" s="1"/>
  <c r="H11" i="40"/>
  <c r="AB11" i="40"/>
  <c r="W8" i="40"/>
  <c r="AA9" i="40"/>
  <c r="U9" i="40"/>
  <c r="S34"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F19" i="34"/>
  <c r="S19" i="34" s="1"/>
  <c r="H17" i="34"/>
  <c r="W8" i="34"/>
  <c r="J28" i="34"/>
  <c r="W28" i="34" s="1"/>
  <c r="F41" i="33"/>
  <c r="AA41" i="33" s="1"/>
  <c r="S38"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F29" i="35"/>
  <c r="H29" i="35"/>
  <c r="AB29" i="35" s="1"/>
  <c r="H33" i="37"/>
  <c r="F33" i="37"/>
  <c r="AA33" i="37" s="1"/>
  <c r="U34" i="37"/>
  <c r="S34" i="37"/>
  <c r="AA34" i="37"/>
  <c r="AB42" i="34"/>
  <c r="J40" i="34"/>
  <c r="W40" i="34" s="1"/>
  <c r="H38" i="34"/>
  <c r="AB38" i="34" s="1"/>
  <c r="J36" i="34"/>
  <c r="W36" i="34" s="1"/>
  <c r="H37" i="34"/>
  <c r="U37" i="34" s="1"/>
  <c r="H25" i="34"/>
  <c r="AB25" i="34" s="1"/>
  <c r="J25" i="34"/>
  <c r="AC25" i="34" s="1"/>
  <c r="F23" i="34"/>
  <c r="AA23" i="34" s="1"/>
  <c r="J19" i="34"/>
  <c r="AC19" i="34" s="1"/>
  <c r="F17" i="34"/>
  <c r="AA17" i="34" s="1"/>
  <c r="J17" i="34"/>
  <c r="W17" i="34" s="1"/>
  <c r="S41"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J42" i="21"/>
  <c r="AC42" i="21" s="1"/>
  <c r="H42" i="21"/>
  <c r="U42" i="21"/>
  <c r="J44" i="34"/>
  <c r="F44" i="34"/>
  <c r="J10" i="35"/>
  <c r="AC10" i="35" s="1"/>
  <c r="J14" i="21"/>
  <c r="W14" i="2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F46" i="21"/>
  <c r="AA46" i="21" s="1"/>
  <c r="H26" i="33"/>
  <c r="U26" i="33"/>
  <c r="H28" i="33"/>
  <c r="U28" i="33" s="1"/>
  <c r="F28" i="33"/>
  <c r="AA28" i="33"/>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c r="F27" i="33"/>
  <c r="AA27" i="33" s="1"/>
  <c r="J13" i="33"/>
  <c r="H13" i="33"/>
  <c r="U13" i="33" s="1"/>
  <c r="F13" i="33"/>
  <c r="S13" i="33" s="1"/>
  <c r="J29" i="33"/>
  <c r="H29" i="33"/>
  <c r="U29" i="33" s="1"/>
  <c r="F29" i="33"/>
  <c r="S29" i="33" s="1"/>
  <c r="J31" i="33"/>
  <c r="H31" i="33"/>
  <c r="F31" i="33"/>
  <c r="H45" i="33"/>
  <c r="J45" i="33"/>
  <c r="W45" i="33" s="1"/>
  <c r="F45" i="33"/>
  <c r="AA45" i="33" s="1"/>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H14" i="33"/>
  <c r="U14" i="33" s="1"/>
  <c r="H30" i="33"/>
  <c r="AB30" i="33" s="1"/>
  <c r="F30" i="33"/>
  <c r="J30" i="33"/>
  <c r="H44" i="33"/>
  <c r="J46" i="33"/>
  <c r="AC46" i="33" s="1"/>
  <c r="F46" i="33"/>
  <c r="AA46" i="33" s="1"/>
  <c r="H46" i="33"/>
  <c r="AB46" i="33"/>
  <c r="J13" i="34"/>
  <c r="W13" i="34" s="1"/>
  <c r="F13" i="34"/>
  <c r="AA13" i="34" s="1"/>
  <c r="J29" i="34"/>
  <c r="F29" i="34"/>
  <c r="S29" i="34" s="1"/>
  <c r="H29" i="34"/>
  <c r="AB29" i="34" s="1"/>
  <c r="F31" i="34"/>
  <c r="S31" i="34" s="1"/>
  <c r="H45" i="34"/>
  <c r="U45" i="34" s="1"/>
  <c r="J45" i="34"/>
  <c r="W45" i="34"/>
  <c r="F45" i="34"/>
  <c r="S45" i="34" s="1"/>
  <c r="H47" i="34"/>
  <c r="U47" i="34" s="1"/>
  <c r="F47" i="34"/>
  <c r="S47" i="34" s="1"/>
  <c r="AC47" i="34"/>
  <c r="F13" i="35"/>
  <c r="J13" i="35"/>
  <c r="AC13" i="35" s="1"/>
  <c r="H13" i="35"/>
  <c r="U13" i="35" s="1"/>
  <c r="H25" i="35"/>
  <c r="AB25" i="35" s="1"/>
  <c r="J35" i="35"/>
  <c r="AC35" i="35" s="1"/>
  <c r="F35" i="35"/>
  <c r="AA35" i="35"/>
  <c r="H35" i="35"/>
  <c r="J25" i="36"/>
  <c r="W25" i="36" s="1"/>
  <c r="F25" i="36"/>
  <c r="S25" i="36" s="1"/>
  <c r="H25" i="36"/>
  <c r="AB25" i="36"/>
  <c r="F13" i="37"/>
  <c r="S13" i="37" s="1"/>
  <c r="J13" i="37"/>
  <c r="W13" i="37" s="1"/>
  <c r="F28" i="37"/>
  <c r="AA28" i="37" s="1"/>
  <c r="J28" i="37"/>
  <c r="AC28" i="37" s="1"/>
  <c r="H28" i="37"/>
  <c r="H38" i="37"/>
  <c r="AB38" i="37"/>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U46" i="33"/>
  <c r="J36" i="37"/>
  <c r="AC36" i="37" s="1"/>
  <c r="J10" i="36"/>
  <c r="AC10" i="36" s="1"/>
  <c r="AB26" i="33"/>
  <c r="AB30" i="21"/>
  <c r="S11" i="36"/>
  <c r="AC28" i="21"/>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2" i="3"/>
  <c r="G564" i="3"/>
  <c r="G560" i="3"/>
  <c r="G554" i="3"/>
  <c r="G550" i="3"/>
  <c r="BL584" i="3"/>
  <c r="BL576" i="3"/>
  <c r="BL568" i="3"/>
  <c r="BL560" i="3"/>
  <c r="BL546" i="3"/>
  <c r="BL542" i="3"/>
  <c r="BL538" i="3"/>
  <c r="BL534" i="3"/>
  <c r="BL530" i="3"/>
  <c r="BL526" i="3"/>
  <c r="BL522" i="3"/>
  <c r="BL516" i="3"/>
  <c r="BL512" i="3"/>
  <c r="BL506" i="3"/>
  <c r="BL502" i="3"/>
  <c r="BL498" i="3"/>
  <c r="BL494" i="3"/>
  <c r="BL578" i="3"/>
  <c r="BL570" i="3"/>
  <c r="BL562" i="3"/>
  <c r="BL552" i="3"/>
  <c r="BL544" i="3"/>
  <c r="BL540" i="3"/>
  <c r="BL536" i="3"/>
  <c r="AZ536" i="3" s="1"/>
  <c r="G533" i="3"/>
  <c r="BL532" i="3"/>
  <c r="G529" i="3"/>
  <c r="BL528" i="3"/>
  <c r="G525" i="3"/>
  <c r="BL524" i="3"/>
  <c r="BL518" i="3"/>
  <c r="BL514" i="3"/>
  <c r="BL510" i="3"/>
  <c r="BL504" i="3"/>
  <c r="BL500" i="3"/>
  <c r="BL496" i="3"/>
  <c r="G493" i="3"/>
  <c r="BA582" i="3"/>
  <c r="BA578" i="3"/>
  <c r="BA574" i="3"/>
  <c r="BA570" i="3"/>
  <c r="BA566" i="3"/>
  <c r="BA562" i="3"/>
  <c r="BA558" i="3"/>
  <c r="BA556" i="3"/>
  <c r="BA554" i="3"/>
  <c r="BA552" i="3"/>
  <c r="BA548" i="3"/>
  <c r="BA546" i="3"/>
  <c r="BA544" i="3"/>
  <c r="AZ544" i="3" s="1"/>
  <c r="BA542" i="3"/>
  <c r="AZ542" i="3" s="1"/>
  <c r="BA540" i="3"/>
  <c r="BA538" i="3"/>
  <c r="BA536" i="3"/>
  <c r="BA534" i="3"/>
  <c r="AZ534" i="3"/>
  <c r="BA532" i="3"/>
  <c r="AZ532" i="3"/>
  <c r="BA530" i="3"/>
  <c r="BA528" i="3"/>
  <c r="AZ528" i="3" s="1"/>
  <c r="BA526" i="3"/>
  <c r="AZ526" i="3" s="1"/>
  <c r="BA524" i="3"/>
  <c r="AZ524" i="3" s="1"/>
  <c r="BA522" i="3"/>
  <c r="BA520" i="3"/>
  <c r="BA518" i="3"/>
  <c r="BA516" i="3"/>
  <c r="BA514" i="3"/>
  <c r="BA512" i="3"/>
  <c r="BA510" i="3"/>
  <c r="BA508" i="3"/>
  <c r="BA506" i="3"/>
  <c r="BA504" i="3"/>
  <c r="AZ504" i="3" s="1"/>
  <c r="BA502" i="3"/>
  <c r="BA500" i="3"/>
  <c r="BA498" i="3"/>
  <c r="BA496" i="3"/>
  <c r="BA494" i="3"/>
  <c r="BA583" i="3"/>
  <c r="BA579" i="3"/>
  <c r="BA575" i="3"/>
  <c r="BA571" i="3"/>
  <c r="BA567" i="3"/>
  <c r="BA563" i="3"/>
  <c r="BA559"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7" i="3"/>
  <c r="G575" i="3"/>
  <c r="G573" i="3"/>
  <c r="G569" i="3"/>
  <c r="G565" i="3"/>
  <c r="G563" i="3"/>
  <c r="G561" i="3"/>
  <c r="BA557" i="3"/>
  <c r="AZ557" i="3" s="1"/>
  <c r="AC557" i="3"/>
  <c r="BQ557" i="3"/>
  <c r="BL557" i="3" s="1"/>
  <c r="BQ583" i="3"/>
  <c r="BQ581" i="3"/>
  <c r="BQ579" i="3"/>
  <c r="BQ577" i="3"/>
  <c r="BL577" i="3" s="1"/>
  <c r="BQ575" i="3"/>
  <c r="BL575" i="3"/>
  <c r="BQ573" i="3"/>
  <c r="BQ571" i="3"/>
  <c r="BQ569" i="3"/>
  <c r="BL569" i="3" s="1"/>
  <c r="BQ567" i="3"/>
  <c r="BL567" i="3" s="1"/>
  <c r="BQ565" i="3"/>
  <c r="BQ563" i="3"/>
  <c r="BL563" i="3"/>
  <c r="BQ561" i="3"/>
  <c r="BL561" i="3" s="1"/>
  <c r="BQ559" i="3"/>
  <c r="G555" i="3"/>
  <c r="G553" i="3"/>
  <c r="G549" i="3"/>
  <c r="G547" i="3"/>
  <c r="G545" i="3"/>
  <c r="G543" i="3"/>
  <c r="G541" i="3"/>
  <c r="G539" i="3"/>
  <c r="G537" i="3"/>
  <c r="BQ555" i="3"/>
  <c r="BL555" i="3" s="1"/>
  <c r="BQ553" i="3"/>
  <c r="BQ551" i="3"/>
  <c r="BL551" i="3" s="1"/>
  <c r="BQ549" i="3"/>
  <c r="BQ547" i="3"/>
  <c r="BL547" i="3" s="1"/>
  <c r="BQ545" i="3"/>
  <c r="BL545" i="3" s="1"/>
  <c r="BQ543" i="3"/>
  <c r="BL543" i="3" s="1"/>
  <c r="AZ543" i="3"/>
  <c r="BQ541" i="3"/>
  <c r="BL541" i="3" s="1"/>
  <c r="AZ541" i="3" s="1"/>
  <c r="BQ539" i="3"/>
  <c r="BL539" i="3" s="1"/>
  <c r="BQ537" i="3"/>
  <c r="BL537" i="3" s="1"/>
  <c r="BQ535" i="3"/>
  <c r="BL535" i="3" s="1"/>
  <c r="AZ535" i="3" s="1"/>
  <c r="BQ533" i="3"/>
  <c r="BL533" i="3" s="1"/>
  <c r="BQ531" i="3"/>
  <c r="BL531" i="3" s="1"/>
  <c r="BQ529" i="3"/>
  <c r="BL529" i="3" s="1"/>
  <c r="BQ527" i="3"/>
  <c r="BL527" i="3" s="1"/>
  <c r="BQ525" i="3"/>
  <c r="BL525" i="3"/>
  <c r="BQ523" i="3"/>
  <c r="BL523" i="3" s="1"/>
  <c r="AZ523" i="3" s="1"/>
  <c r="BA521" i="3"/>
  <c r="AC521" i="3"/>
  <c r="G521" i="3"/>
  <c r="BQ521" i="3"/>
  <c r="BL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AZ501" i="3" s="1"/>
  <c r="BQ499" i="3"/>
  <c r="BL499" i="3" s="1"/>
  <c r="BQ497" i="3"/>
  <c r="BL497" i="3"/>
  <c r="BQ495" i="3"/>
  <c r="BL495" i="3" s="1"/>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U11" i="33"/>
  <c r="U19" i="21"/>
  <c r="W44" i="21"/>
  <c r="AB38" i="21"/>
  <c r="F43" i="33"/>
  <c r="AA43" i="33" s="1"/>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AZ167" i="3" s="1"/>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55" i="3"/>
  <c r="AZ128" i="3"/>
  <c r="G534" i="3"/>
  <c r="G530" i="3"/>
  <c r="G522" i="3"/>
  <c r="G516" i="3"/>
  <c r="G512" i="3"/>
  <c r="G506" i="3"/>
  <c r="G498" i="3"/>
  <c r="G494" i="3"/>
  <c r="G16" i="3"/>
  <c r="B27" i="31" s="1"/>
  <c r="G15" i="3"/>
  <c r="B26" i="31" s="1"/>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G328" i="3"/>
  <c r="BA330" i="3"/>
  <c r="BL331" i="3"/>
  <c r="AZ331" i="3" s="1"/>
  <c r="G332" i="3"/>
  <c r="BA334" i="3"/>
  <c r="BL335" i="3"/>
  <c r="AZ335" i="3" s="1"/>
  <c r="G336" i="3"/>
  <c r="BA338" i="3"/>
  <c r="BL339" i="3"/>
  <c r="AZ339" i="3" s="1"/>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AZ383" i="3" s="1"/>
  <c r="BL384" i="3"/>
  <c r="G385" i="3"/>
  <c r="BA387" i="3"/>
  <c r="BL388" i="3"/>
  <c r="G389" i="3"/>
  <c r="BA391" i="3"/>
  <c r="BL392" i="3"/>
  <c r="AZ392" i="3" s="1"/>
  <c r="G393" i="3"/>
  <c r="BO5" i="3"/>
  <c r="BM5" i="3"/>
  <c r="BJ5" i="3"/>
  <c r="BH5" i="3"/>
  <c r="BF5" i="3"/>
  <c r="BD5" i="3"/>
  <c r="AZ506" i="3"/>
  <c r="AZ496" i="3"/>
  <c r="G548" i="3"/>
  <c r="G538" i="3"/>
  <c r="G520" i="3"/>
  <c r="G502" i="3"/>
  <c r="BS5" i="3"/>
  <c r="BN5" i="3"/>
  <c r="G17" i="3"/>
  <c r="B28" i="31" s="1"/>
  <c r="BA17" i="3"/>
  <c r="BT5" i="3"/>
  <c r="AZ499" i="3"/>
  <c r="G509" i="3"/>
  <c r="BL493" i="3"/>
  <c r="AZ493" i="3" s="1"/>
  <c r="U36" i="40"/>
  <c r="F83" i="43"/>
  <c r="H85" i="43" s="1"/>
  <c r="F50" i="43"/>
  <c r="H54" i="43" s="1"/>
  <c r="F72" i="43"/>
  <c r="H75" i="43" s="1"/>
  <c r="U17" i="39"/>
  <c r="S14" i="35"/>
  <c r="U43" i="21"/>
  <c r="U35" i="21"/>
  <c r="AC35" i="21"/>
  <c r="G10" i="1"/>
  <c r="AC11" i="39"/>
  <c r="AZ563" i="3"/>
  <c r="W37" i="37"/>
  <c r="S15" i="37"/>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K9" i="1"/>
  <c r="M9" i="1" s="1"/>
  <c r="D93" i="9"/>
  <c r="AC26" i="33"/>
  <c r="W26" i="33"/>
  <c r="AB34" i="36"/>
  <c r="U34" i="36"/>
  <c r="AB33" i="36"/>
  <c r="U33" i="36"/>
  <c r="AC12" i="39"/>
  <c r="W12" i="39"/>
  <c r="AC39" i="40"/>
  <c r="W39" i="40"/>
  <c r="AZ465" i="3"/>
  <c r="W12" i="33"/>
  <c r="AC12" i="33"/>
  <c r="BL14" i="3"/>
  <c r="U30" i="33"/>
  <c r="AC13" i="34"/>
  <c r="AA47" i="34"/>
  <c r="W28" i="37"/>
  <c r="S19" i="39"/>
  <c r="F12" i="33"/>
  <c r="AA12" i="33" s="1"/>
  <c r="H12" i="39"/>
  <c r="U12" i="39" s="1"/>
  <c r="AB12" i="39"/>
  <c r="F39" i="40"/>
  <c r="BA14" i="3"/>
  <c r="AZ254" i="3"/>
  <c r="B12" i="1"/>
  <c r="E12" i="1" s="1"/>
  <c r="B10" i="1"/>
  <c r="E10" i="1" s="1"/>
  <c r="K12" i="1"/>
  <c r="M12" i="1" s="1"/>
  <c r="S13" i="1"/>
  <c r="AR13" i="1" s="1"/>
  <c r="R13" i="1"/>
  <c r="J51" i="67"/>
  <c r="C42" i="1"/>
  <c r="AC34" i="33"/>
  <c r="B41" i="1"/>
  <c r="F48" i="9" s="1"/>
  <c r="O52" i="9" s="1"/>
  <c r="AB37" i="40"/>
  <c r="S35" i="40"/>
  <c r="U35" i="40"/>
  <c r="AA32" i="40"/>
  <c r="S17" i="40"/>
  <c r="S23" i="40"/>
  <c r="AC17" i="40"/>
  <c r="AC15" i="40"/>
  <c r="AB27" i="40"/>
  <c r="S30" i="40"/>
  <c r="S28" i="40"/>
  <c r="AA27" i="40"/>
  <c r="U21" i="40"/>
  <c r="AB19" i="40"/>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S23" i="36"/>
  <c r="U13" i="36"/>
  <c r="U26" i="36"/>
  <c r="S33" i="36"/>
  <c r="AA26" i="36"/>
  <c r="AA34" i="36"/>
  <c r="AC26" i="36"/>
  <c r="W14" i="36"/>
  <c r="AB14" i="36"/>
  <c r="U22" i="36"/>
  <c r="S16" i="36"/>
  <c r="AA25" i="36"/>
  <c r="S24" i="36"/>
  <c r="AB20" i="36"/>
  <c r="U16" i="36"/>
  <c r="S14" i="36"/>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AC29" i="37"/>
  <c r="U29" i="37"/>
  <c r="W30" i="37"/>
  <c r="S36" i="37"/>
  <c r="AA38" i="37"/>
  <c r="U32" i="37"/>
  <c r="W38" i="37"/>
  <c r="AC35" i="37"/>
  <c r="W39" i="37"/>
  <c r="S30" i="37"/>
  <c r="S37" i="37"/>
  <c r="AC15" i="37"/>
  <c r="J17" i="37"/>
  <c r="W17" i="37" s="1"/>
  <c r="G73" i="37"/>
  <c r="F17" i="37"/>
  <c r="AA17" i="37" s="1"/>
  <c r="AB17" i="37"/>
  <c r="F75" i="37"/>
  <c r="G75" i="37" s="1"/>
  <c r="F19" i="37"/>
  <c r="S19" i="37" s="1"/>
  <c r="F79" i="37"/>
  <c r="G79" i="37" s="1"/>
  <c r="F23" i="37"/>
  <c r="S23" i="37" s="1"/>
  <c r="U15" i="37"/>
  <c r="AC13" i="37"/>
  <c r="AA13" i="37"/>
  <c r="H10" i="37"/>
  <c r="AB10" i="37" s="1"/>
  <c r="F63" i="37"/>
  <c r="F11" i="37"/>
  <c r="S11" i="37" s="1"/>
  <c r="AC42" i="34"/>
  <c r="AA45" i="34"/>
  <c r="S17" i="34"/>
  <c r="AA29" i="34"/>
  <c r="S13"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F85" i="33"/>
  <c r="H23" i="33"/>
  <c r="F81" i="33"/>
  <c r="G81" i="33" s="1"/>
  <c r="F19" i="33"/>
  <c r="S19" i="33" s="1"/>
  <c r="W19" i="33"/>
  <c r="J17"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C18" i="9"/>
  <c r="D18" i="9" s="1"/>
  <c r="BA13" i="3"/>
  <c r="BL17" i="3"/>
  <c r="J56" i="9"/>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G1" i="67"/>
  <c r="W23" i="40"/>
  <c r="U32" i="40"/>
  <c r="AB31" i="40"/>
  <c r="S37" i="40"/>
  <c r="AB28" i="40"/>
  <c r="W28" i="40"/>
  <c r="W34" i="40"/>
  <c r="W19" i="40"/>
  <c r="S36" i="40"/>
  <c r="W37" i="40"/>
  <c r="AC14" i="40"/>
  <c r="S13" i="40"/>
  <c r="S33" i="40"/>
  <c r="AA15" i="40"/>
  <c r="U11" i="40"/>
  <c r="AB13" i="40"/>
  <c r="U15" i="40"/>
  <c r="AB17" i="40"/>
  <c r="U8" i="40"/>
  <c r="S8" i="40"/>
  <c r="AA39" i="39"/>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W29" i="36"/>
  <c r="AC20" i="36"/>
  <c r="U25" i="36"/>
  <c r="AB28" i="36"/>
  <c r="AA13" i="36"/>
  <c r="W9" i="36"/>
  <c r="W22" i="36"/>
  <c r="AB20"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S8" i="34"/>
  <c r="AB9" i="34"/>
  <c r="U9" i="34"/>
  <c r="S46" i="34"/>
  <c r="AA46" i="34"/>
  <c r="U32" i="34"/>
  <c r="AB32" i="34"/>
  <c r="U14" i="34"/>
  <c r="AB14" i="34"/>
  <c r="AB28" i="33"/>
  <c r="AC37" i="33"/>
  <c r="W46" i="33"/>
  <c r="U39" i="33"/>
  <c r="U38" i="33"/>
  <c r="S33" i="33"/>
  <c r="U44" i="33"/>
  <c r="AB44" i="33"/>
  <c r="S30" i="33"/>
  <c r="AA30"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9"/>
  <c r="F48" i="69" s="1"/>
  <c r="AA39" i="40"/>
  <c r="S39" i="40"/>
  <c r="S12" i="33"/>
  <c r="J32" i="39"/>
  <c r="W32" i="39" s="1"/>
  <c r="H32" i="39"/>
  <c r="AB32" i="39" s="1"/>
  <c r="AA32" i="39"/>
  <c r="AB21" i="39"/>
  <c r="J19" i="37"/>
  <c r="W19" i="37" s="1"/>
  <c r="AA19" i="37"/>
  <c r="J23" i="37"/>
  <c r="W23" i="37" s="1"/>
  <c r="J10" i="37"/>
  <c r="W10" i="37" s="1"/>
  <c r="G63" i="37"/>
  <c r="H63" i="37" s="1"/>
  <c r="I63" i="37" s="1"/>
  <c r="J63" i="37" s="1"/>
  <c r="K63" i="37" s="1"/>
  <c r="L63" i="37" s="1"/>
  <c r="M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U23" i="33"/>
  <c r="F23" i="33"/>
  <c r="G85" i="33"/>
  <c r="AA19" i="33"/>
  <c r="H19" i="33"/>
  <c r="AB19" i="33" s="1"/>
  <c r="H17" i="33"/>
  <c r="U17" i="33" s="1"/>
  <c r="F17" i="33"/>
  <c r="S17" i="33" s="1"/>
  <c r="W17" i="33"/>
  <c r="AC17" i="33"/>
  <c r="S37" i="21"/>
  <c r="AA23" i="21"/>
  <c r="AB15" i="21"/>
  <c r="J23" i="21"/>
  <c r="H23" i="21"/>
  <c r="AB23" i="21" s="1"/>
  <c r="S13" i="21"/>
  <c r="D6" i="52"/>
  <c r="AP7" i="1"/>
  <c r="AB45" i="21"/>
  <c r="AB9" i="21"/>
  <c r="S32" i="21"/>
  <c r="W9" i="21"/>
  <c r="AC9" i="21"/>
  <c r="U32" i="21"/>
  <c r="U32" i="39"/>
  <c r="AC32" i="39"/>
  <c r="J11" i="37"/>
  <c r="AC11" i="37" s="1"/>
  <c r="H70" i="34"/>
  <c r="I70" i="34" s="1"/>
  <c r="J70" i="34" s="1"/>
  <c r="K70" i="34" s="1"/>
  <c r="L70" i="34" s="1"/>
  <c r="M70" i="34" s="1"/>
  <c r="J11" i="34"/>
  <c r="W11" i="34" s="1"/>
  <c r="AC23" i="21"/>
  <c r="W23" i="21"/>
  <c r="H109" i="9"/>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M24" i="67"/>
  <c r="B8" i="76"/>
  <c r="F16" i="67"/>
  <c r="E10" i="76"/>
  <c r="F5" i="73"/>
  <c r="F4" i="73"/>
  <c r="E13" i="76"/>
  <c r="F13" i="67"/>
  <c r="C76" i="67"/>
  <c r="B10" i="76"/>
  <c r="AO13" i="1"/>
  <c r="B13" i="76"/>
  <c r="E12" i="76"/>
  <c r="B7" i="76"/>
  <c r="F20" i="31"/>
  <c r="E7" i="76"/>
  <c r="B12" i="76"/>
  <c r="D6" i="73"/>
  <c r="B11" i="76"/>
  <c r="E8" i="76"/>
  <c r="E2" i="68"/>
  <c r="F3" i="73"/>
  <c r="E11" i="76"/>
  <c r="F7" i="73"/>
  <c r="E2" i="69"/>
  <c r="E9" i="76"/>
  <c r="B9" i="76"/>
  <c r="AZ520" i="3" l="1"/>
  <c r="W44" i="34"/>
  <c r="AC44" i="34"/>
  <c r="AZ322" i="3"/>
  <c r="AZ311" i="3"/>
  <c r="AZ521" i="3"/>
  <c r="G557" i="3"/>
  <c r="AC5" i="3"/>
  <c r="AZ498" i="3"/>
  <c r="AZ514" i="3"/>
  <c r="W31" i="33"/>
  <c r="AC31" i="33"/>
  <c r="AA17" i="33"/>
  <c r="W25" i="33"/>
  <c r="AC17" i="37"/>
  <c r="AB29" i="21"/>
  <c r="S17" i="21"/>
  <c r="AB34" i="33"/>
  <c r="AA22" i="36"/>
  <c r="U37" i="39"/>
  <c r="AZ347" i="3"/>
  <c r="AZ327" i="3"/>
  <c r="AZ309" i="3"/>
  <c r="S45" i="33"/>
  <c r="U23" i="21"/>
  <c r="AA23" i="37"/>
  <c r="AA21" i="39"/>
  <c r="S31" i="40"/>
  <c r="W27" i="40"/>
  <c r="AZ17" i="3"/>
  <c r="S43" i="33"/>
  <c r="S27" i="33"/>
  <c r="U23" i="37"/>
  <c r="AB31" i="37"/>
  <c r="AA19" i="40"/>
  <c r="AC36" i="40"/>
  <c r="F29" i="6"/>
  <c r="AZ391" i="3"/>
  <c r="AZ380" i="3"/>
  <c r="S11" i="39"/>
  <c r="AA11" i="39"/>
  <c r="W12" i="37"/>
  <c r="AC12" i="37"/>
  <c r="AZ533" i="3"/>
  <c r="H12" i="34"/>
  <c r="AZ509" i="3"/>
  <c r="AZ525" i="3"/>
  <c r="AZ516" i="3"/>
  <c r="AZ552" i="3"/>
  <c r="AZ540" i="3"/>
  <c r="AZ538" i="3"/>
  <c r="F27" i="21"/>
  <c r="S31" i="35"/>
  <c r="J44" i="39"/>
  <c r="G585" i="3"/>
  <c r="BL586" i="3"/>
  <c r="AZ586" i="3" s="1"/>
  <c r="G570" i="3"/>
  <c r="G556" i="3"/>
  <c r="AZ379" i="3"/>
  <c r="AZ364" i="3"/>
  <c r="AZ337" i="3"/>
  <c r="AZ325" i="3"/>
  <c r="I7" i="34"/>
  <c r="G7" i="34"/>
  <c r="E7" i="34"/>
  <c r="W16" i="35"/>
  <c r="AA36" i="39"/>
  <c r="S21" i="40"/>
  <c r="AZ575" i="3"/>
  <c r="AZ510" i="3"/>
  <c r="J23" i="34"/>
  <c r="W23" i="34" s="1"/>
  <c r="W28" i="35"/>
  <c r="U31" i="36"/>
  <c r="F39" i="37"/>
  <c r="S39" i="37" s="1"/>
  <c r="AB41" i="21"/>
  <c r="G551" i="3"/>
  <c r="G542" i="3"/>
  <c r="H38" i="40"/>
  <c r="F38" i="40"/>
  <c r="G14" i="3"/>
  <c r="F19" i="6" s="1"/>
  <c r="E19" i="6" s="1"/>
  <c r="A15" i="62"/>
  <c r="B61" i="72" s="1"/>
  <c r="BA413" i="3"/>
  <c r="BA419" i="3"/>
  <c r="BL420" i="3"/>
  <c r="BL435" i="3"/>
  <c r="BL436" i="3"/>
  <c r="BA443" i="3"/>
  <c r="AZ443" i="3" s="1"/>
  <c r="BA449" i="3"/>
  <c r="BL453" i="3"/>
  <c r="BL454" i="3"/>
  <c r="BL458" i="3"/>
  <c r="BL459" i="3"/>
  <c r="BA467" i="3"/>
  <c r="BA468" i="3"/>
  <c r="BL471" i="3"/>
  <c r="BA477" i="3"/>
  <c r="BA481" i="3"/>
  <c r="BA489" i="3"/>
  <c r="BL316" i="3"/>
  <c r="G584" i="3"/>
  <c r="G579" i="3"/>
  <c r="G576" i="3"/>
  <c r="G571" i="3"/>
  <c r="G568" i="3"/>
  <c r="G567" i="3"/>
  <c r="G552" i="3"/>
  <c r="G400" i="3"/>
  <c r="BA407" i="3"/>
  <c r="BL409" i="3"/>
  <c r="BL413" i="3"/>
  <c r="G415" i="3"/>
  <c r="G416" i="3"/>
  <c r="G420" i="3"/>
  <c r="BA424" i="3"/>
  <c r="G426" i="3"/>
  <c r="BL430" i="3"/>
  <c r="BA431" i="3"/>
  <c r="G434" i="3"/>
  <c r="G445" i="3"/>
  <c r="BA448" i="3"/>
  <c r="G456" i="3"/>
  <c r="G457" i="3"/>
  <c r="G458" i="3"/>
  <c r="BA463" i="3"/>
  <c r="BA466" i="3"/>
  <c r="BA476" i="3"/>
  <c r="BA480" i="3"/>
  <c r="BA485" i="3"/>
  <c r="BA487" i="3"/>
  <c r="AZ487" i="3" s="1"/>
  <c r="BA488" i="3"/>
  <c r="AZ488" i="3" s="1"/>
  <c r="BL490" i="3"/>
  <c r="G318" i="3"/>
  <c r="BL340" i="3"/>
  <c r="AZ340" i="3" s="1"/>
  <c r="G343" i="3"/>
  <c r="G347" i="3"/>
  <c r="BA348" i="3"/>
  <c r="BA350" i="3"/>
  <c r="AZ350" i="3" s="1"/>
  <c r="BA354" i="3"/>
  <c r="BL381" i="3"/>
  <c r="AZ381" i="3" s="1"/>
  <c r="BA214" i="3"/>
  <c r="AZ214" i="3" s="1"/>
  <c r="BL216" i="3"/>
  <c r="BL222" i="3"/>
  <c r="G223" i="3"/>
  <c r="BA225" i="3"/>
  <c r="BL227" i="3"/>
  <c r="BA231" i="3"/>
  <c r="G234" i="3"/>
  <c r="BL237" i="3"/>
  <c r="BL238" i="3"/>
  <c r="BL252" i="3"/>
  <c r="BA258" i="3"/>
  <c r="BL266" i="3"/>
  <c r="G123" i="3"/>
  <c r="BA156" i="3"/>
  <c r="AZ156" i="3" s="1"/>
  <c r="BL198" i="3"/>
  <c r="BA50" i="3"/>
  <c r="G92" i="3"/>
  <c r="BA385" i="3"/>
  <c r="BL386" i="3"/>
  <c r="BA397" i="3"/>
  <c r="BL397" i="3"/>
  <c r="BA212" i="3"/>
  <c r="C60" i="71"/>
  <c r="D59" i="71"/>
  <c r="BL398" i="3"/>
  <c r="BL402" i="3"/>
  <c r="BL403" i="3"/>
  <c r="G405" i="3"/>
  <c r="G406" i="3"/>
  <c r="BA410" i="3"/>
  <c r="BL410" i="3"/>
  <c r="G412" i="3"/>
  <c r="BL416" i="3"/>
  <c r="G418" i="3"/>
  <c r="G419" i="3"/>
  <c r="BA420" i="3"/>
  <c r="BA422" i="3"/>
  <c r="G428" i="3"/>
  <c r="BL428" i="3"/>
  <c r="BL429" i="3"/>
  <c r="G437" i="3"/>
  <c r="BA437" i="3"/>
  <c r="G442" i="3"/>
  <c r="G444" i="3"/>
  <c r="BA444" i="3"/>
  <c r="G455" i="3"/>
  <c r="BL455" i="3"/>
  <c r="BL462" i="3"/>
  <c r="G465" i="3"/>
  <c r="G467" i="3"/>
  <c r="G477" i="3"/>
  <c r="BA478" i="3"/>
  <c r="G481" i="3"/>
  <c r="BL484" i="3"/>
  <c r="G486" i="3"/>
  <c r="BA319" i="3"/>
  <c r="AZ319" i="3" s="1"/>
  <c r="BL324" i="3"/>
  <c r="AZ324" i="3" s="1"/>
  <c r="BL328" i="3"/>
  <c r="AZ328" i="3" s="1"/>
  <c r="G329" i="3"/>
  <c r="BA366" i="3"/>
  <c r="AZ366" i="3" s="1"/>
  <c r="BL385" i="3"/>
  <c r="BL208" i="3"/>
  <c r="G209" i="3"/>
  <c r="BA210" i="3"/>
  <c r="BL210" i="3"/>
  <c r="BL212" i="3"/>
  <c r="G214" i="3"/>
  <c r="BA217" i="3"/>
  <c r="G220" i="3"/>
  <c r="G221" i="3"/>
  <c r="BL224" i="3"/>
  <c r="G225" i="3"/>
  <c r="BA228" i="3"/>
  <c r="BA247" i="3"/>
  <c r="BL247" i="3"/>
  <c r="G251" i="3"/>
  <c r="BA281" i="3"/>
  <c r="G135" i="3"/>
  <c r="BL205" i="3"/>
  <c r="G98" i="3"/>
  <c r="G235" i="3"/>
  <c r="G249" i="3"/>
  <c r="G252" i="3"/>
  <c r="G255" i="3"/>
  <c r="BA255" i="3"/>
  <c r="G258" i="3"/>
  <c r="BL262" i="3"/>
  <c r="G263" i="3"/>
  <c r="BL264" i="3"/>
  <c r="BA268" i="3"/>
  <c r="BA279" i="3"/>
  <c r="G282" i="3"/>
  <c r="BA283" i="3"/>
  <c r="G286" i="3"/>
  <c r="BA288" i="3"/>
  <c r="BL290" i="3"/>
  <c r="BL122" i="3"/>
  <c r="BA126" i="3"/>
  <c r="BL163" i="3"/>
  <c r="AZ163" i="3" s="1"/>
  <c r="G164" i="3"/>
  <c r="G172" i="3"/>
  <c r="G178" i="3"/>
  <c r="BL178" i="3"/>
  <c r="BA180" i="3"/>
  <c r="AZ180" i="3" s="1"/>
  <c r="BL182" i="3"/>
  <c r="G183" i="3"/>
  <c r="BL186" i="3"/>
  <c r="BA188" i="3"/>
  <c r="AZ188" i="3" s="1"/>
  <c r="G195" i="3"/>
  <c r="BA196" i="3"/>
  <c r="AZ196" i="3" s="1"/>
  <c r="G206" i="3"/>
  <c r="BA207" i="3"/>
  <c r="G20" i="3"/>
  <c r="BL20" i="3"/>
  <c r="BA21" i="3"/>
  <c r="BL23" i="3"/>
  <c r="BA26" i="3"/>
  <c r="G28" i="3"/>
  <c r="BL28" i="3"/>
  <c r="BA29" i="3"/>
  <c r="G32" i="3"/>
  <c r="G33" i="3"/>
  <c r="BA33" i="3"/>
  <c r="BA47" i="3"/>
  <c r="BL47" i="3"/>
  <c r="G49" i="3"/>
  <c r="G50" i="3"/>
  <c r="G54" i="3"/>
  <c r="BA65" i="3"/>
  <c r="BL86" i="3"/>
  <c r="AZ86" i="3" s="1"/>
  <c r="G88" i="3"/>
  <c r="BA88" i="3"/>
  <c r="G93" i="3"/>
  <c r="BA97" i="3"/>
  <c r="BL97" i="3"/>
  <c r="G99" i="3"/>
  <c r="BA110" i="3"/>
  <c r="AZ110" i="3" s="1"/>
  <c r="C59" i="82"/>
  <c r="D59" i="82" s="1"/>
  <c r="E59" i="82" s="1"/>
  <c r="F59" i="82" s="1"/>
  <c r="G59" i="82" s="1"/>
  <c r="H59" i="82" s="1"/>
  <c r="I59" i="82" s="1"/>
  <c r="J59" i="82" s="1"/>
  <c r="K59" i="82" s="1"/>
  <c r="L59" i="82" s="1"/>
  <c r="M59" i="82" s="1"/>
  <c r="N59" i="82" s="1"/>
  <c r="O59" i="82" s="1"/>
  <c r="I7" i="82"/>
  <c r="J7" i="82" s="1"/>
  <c r="G7" i="82"/>
  <c r="E7" i="82"/>
  <c r="F7" i="82" s="1"/>
  <c r="AB27" i="71"/>
  <c r="E79" i="71"/>
  <c r="E78" i="71" s="1"/>
  <c r="X26" i="71"/>
  <c r="C31" i="71"/>
  <c r="AB34" i="71"/>
  <c r="E59" i="71"/>
  <c r="E60" i="71" s="1"/>
  <c r="U60" i="71" s="1"/>
  <c r="C5" i="68"/>
  <c r="AA3" i="71"/>
  <c r="BA286" i="3"/>
  <c r="BL289" i="3"/>
  <c r="G290" i="3"/>
  <c r="BA293" i="3"/>
  <c r="G297" i="3"/>
  <c r="BA120" i="3"/>
  <c r="AZ120" i="3" s="1"/>
  <c r="G134" i="3"/>
  <c r="G144" i="3"/>
  <c r="BA146" i="3"/>
  <c r="BA150" i="3"/>
  <c r="BL158" i="3"/>
  <c r="G159" i="3"/>
  <c r="G163" i="3"/>
  <c r="BL166" i="3"/>
  <c r="G167" i="3"/>
  <c r="BA168" i="3"/>
  <c r="AZ168" i="3" s="1"/>
  <c r="BL175" i="3"/>
  <c r="AZ175" i="3" s="1"/>
  <c r="G176" i="3"/>
  <c r="G190" i="3"/>
  <c r="BA25" i="3"/>
  <c r="G31" i="3"/>
  <c r="BL35" i="3"/>
  <c r="BA40" i="3"/>
  <c r="BL44" i="3"/>
  <c r="G63" i="3"/>
  <c r="BA64" i="3"/>
  <c r="BA68" i="3"/>
  <c r="G73" i="3"/>
  <c r="BL73" i="3"/>
  <c r="BA74" i="3"/>
  <c r="AZ74" i="3" s="1"/>
  <c r="BA87" i="3"/>
  <c r="BL96" i="3"/>
  <c r="G106" i="3"/>
  <c r="BL106" i="3"/>
  <c r="BA108" i="3"/>
  <c r="G110" i="3"/>
  <c r="S21" i="33"/>
  <c r="AA18" i="35"/>
  <c r="D43" i="71"/>
  <c r="F28" i="71"/>
  <c r="F27" i="71" s="1"/>
  <c r="F26" i="71" s="1"/>
  <c r="E75" i="71"/>
  <c r="E74" i="71" s="1"/>
  <c r="D68" i="71"/>
  <c r="C38" i="71"/>
  <c r="D38" i="71" s="1"/>
  <c r="X33" i="71"/>
  <c r="X36" i="71"/>
  <c r="AB37" i="71"/>
  <c r="B43" i="71"/>
  <c r="B44" i="71" s="1"/>
  <c r="S44" i="71" s="1"/>
  <c r="B63" i="71"/>
  <c r="B64" i="71" s="1"/>
  <c r="S64" i="71" s="1"/>
  <c r="S72" i="71"/>
  <c r="Y26" i="71"/>
  <c r="Z26" i="71" s="1"/>
  <c r="C23" i="71"/>
  <c r="B22" i="71"/>
  <c r="B21" i="71" s="1"/>
  <c r="B20" i="71" s="1"/>
  <c r="Y27" i="71"/>
  <c r="Z27" i="71" s="1"/>
  <c r="BL230" i="3"/>
  <c r="BA235" i="3"/>
  <c r="BL235" i="3"/>
  <c r="BL236" i="3"/>
  <c r="BL242" i="3"/>
  <c r="BL243" i="3"/>
  <c r="BA250" i="3"/>
  <c r="BA252" i="3"/>
  <c r="AZ252" i="3" s="1"/>
  <c r="BA256" i="3"/>
  <c r="AZ256" i="3" s="1"/>
  <c r="BL256" i="3"/>
  <c r="BL259" i="3"/>
  <c r="BA265" i="3"/>
  <c r="BL269" i="3"/>
  <c r="BL272" i="3"/>
  <c r="BL273" i="3"/>
  <c r="BL278" i="3"/>
  <c r="BL286" i="3"/>
  <c r="BA291" i="3"/>
  <c r="BL291" i="3"/>
  <c r="BL298" i="3"/>
  <c r="BL299" i="3"/>
  <c r="BL146" i="3"/>
  <c r="BA148" i="3"/>
  <c r="AZ148" i="3" s="1"/>
  <c r="BL154" i="3"/>
  <c r="BA162" i="3"/>
  <c r="BA185" i="3"/>
  <c r="BA189" i="3"/>
  <c r="BL191" i="3"/>
  <c r="AZ191" i="3" s="1"/>
  <c r="BA193" i="3"/>
  <c r="BL195" i="3"/>
  <c r="AZ195" i="3" s="1"/>
  <c r="G203" i="3"/>
  <c r="BA205" i="3"/>
  <c r="AZ205" i="3" s="1"/>
  <c r="BA22" i="3"/>
  <c r="BL24" i="3"/>
  <c r="G26" i="3"/>
  <c r="BA30" i="3"/>
  <c r="G34" i="3"/>
  <c r="G52" i="3"/>
  <c r="BL52" i="3"/>
  <c r="BL54" i="3"/>
  <c r="G66" i="3"/>
  <c r="BL74" i="3"/>
  <c r="BL76" i="3"/>
  <c r="BL79" i="3"/>
  <c r="G81" i="3"/>
  <c r="BA91" i="3"/>
  <c r="AZ91" i="3" s="1"/>
  <c r="BL93" i="3"/>
  <c r="BL101" i="3"/>
  <c r="BL102" i="3"/>
  <c r="BA109" i="3"/>
  <c r="F3" i="35"/>
  <c r="F8" i="1"/>
  <c r="G8" i="1" s="1"/>
  <c r="F16" i="4"/>
  <c r="A18" i="51" s="1"/>
  <c r="B13" i="72" s="1"/>
  <c r="W21" i="21"/>
  <c r="W18" i="36"/>
  <c r="B57" i="43"/>
  <c r="Y25" i="71"/>
  <c r="Z25" i="71" s="1"/>
  <c r="Y29" i="71"/>
  <c r="Z29" i="71" s="1"/>
  <c r="C63" i="71"/>
  <c r="X25" i="7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3" i="31"/>
  <c r="E318" i="31"/>
  <c r="E310" i="31"/>
  <c r="E303" i="31"/>
  <c r="E294" i="31"/>
  <c r="E279" i="31"/>
  <c r="E263" i="31"/>
  <c r="E247" i="31"/>
  <c r="E231" i="31"/>
  <c r="E215" i="31"/>
  <c r="E199" i="31"/>
  <c r="E183" i="31"/>
  <c r="E167" i="31"/>
  <c r="E151" i="31"/>
  <c r="E135" i="31"/>
  <c r="E119" i="31"/>
  <c r="E98" i="31"/>
  <c r="E77" i="31"/>
  <c r="E46" i="31"/>
  <c r="H27" i="34"/>
  <c r="AB27" i="34" s="1"/>
  <c r="U28" i="34"/>
  <c r="E297" i="31"/>
  <c r="E291" i="31"/>
  <c r="E283" i="31"/>
  <c r="E275" i="31"/>
  <c r="E267" i="31"/>
  <c r="E259" i="31"/>
  <c r="E251" i="31"/>
  <c r="E243" i="31"/>
  <c r="E235" i="31"/>
  <c r="E227" i="31"/>
  <c r="E219" i="31"/>
  <c r="E211" i="31"/>
  <c r="E203" i="31"/>
  <c r="E195" i="31"/>
  <c r="E187" i="31"/>
  <c r="E179" i="31"/>
  <c r="E171" i="31"/>
  <c r="E163" i="31"/>
  <c r="E155" i="31"/>
  <c r="E147" i="31"/>
  <c r="E139" i="31"/>
  <c r="E131" i="31"/>
  <c r="E123" i="31"/>
  <c r="E114" i="31"/>
  <c r="E104" i="31"/>
  <c r="E93" i="31"/>
  <c r="E82" i="31"/>
  <c r="E70" i="31"/>
  <c r="E54" i="31"/>
  <c r="E38" i="31"/>
  <c r="E317" i="31"/>
  <c r="E311" i="31"/>
  <c r="E306" i="31"/>
  <c r="E301" i="31"/>
  <c r="E295" i="31"/>
  <c r="E290" i="31"/>
  <c r="E282" i="31"/>
  <c r="E274" i="31"/>
  <c r="E266" i="31"/>
  <c r="E258" i="31"/>
  <c r="E250" i="31"/>
  <c r="E242" i="31"/>
  <c r="E234" i="31"/>
  <c r="E226" i="31"/>
  <c r="E218" i="31"/>
  <c r="E210" i="31"/>
  <c r="E202" i="31"/>
  <c r="E194" i="31"/>
  <c r="E186" i="31"/>
  <c r="E178" i="31"/>
  <c r="E170" i="31"/>
  <c r="E162" i="31"/>
  <c r="E154" i="31"/>
  <c r="E146" i="31"/>
  <c r="E138" i="31"/>
  <c r="E130" i="31"/>
  <c r="E122" i="31"/>
  <c r="E113" i="31"/>
  <c r="E102" i="31"/>
  <c r="E92" i="31"/>
  <c r="E81" i="31"/>
  <c r="E69" i="31"/>
  <c r="E53" i="31"/>
  <c r="E37" i="31"/>
  <c r="S28" i="34"/>
  <c r="AC28" i="34"/>
  <c r="J27" i="34"/>
  <c r="AC27" i="34" s="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2" i="31"/>
  <c r="E106" i="31"/>
  <c r="E101" i="31"/>
  <c r="E96" i="31"/>
  <c r="E90" i="31"/>
  <c r="E85" i="31"/>
  <c r="E80" i="31"/>
  <c r="E74" i="31"/>
  <c r="E66" i="31"/>
  <c r="E58" i="31"/>
  <c r="E50" i="31"/>
  <c r="E42" i="31"/>
  <c r="E34"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0" i="31"/>
  <c r="E105" i="31"/>
  <c r="E100" i="31"/>
  <c r="E94" i="31"/>
  <c r="E89" i="31"/>
  <c r="E84" i="31"/>
  <c r="E78" i="31"/>
  <c r="E73" i="31"/>
  <c r="E65" i="31"/>
  <c r="E57" i="31"/>
  <c r="E49" i="31"/>
  <c r="E41" i="31"/>
  <c r="E33" i="31"/>
  <c r="W27" i="34"/>
  <c r="E72" i="31"/>
  <c r="E68" i="31"/>
  <c r="E64" i="31"/>
  <c r="E60" i="31"/>
  <c r="E56" i="31"/>
  <c r="E52" i="31"/>
  <c r="E48" i="31"/>
  <c r="E44" i="31"/>
  <c r="E40" i="31"/>
  <c r="E36" i="31"/>
  <c r="E32" i="31"/>
  <c r="E115" i="31"/>
  <c r="E111" i="31"/>
  <c r="E107" i="31"/>
  <c r="E103" i="31"/>
  <c r="E99" i="31"/>
  <c r="E95" i="31"/>
  <c r="E91" i="31"/>
  <c r="E87" i="31"/>
  <c r="E83" i="31"/>
  <c r="E79" i="31"/>
  <c r="E75" i="31"/>
  <c r="E71" i="31"/>
  <c r="E67" i="31"/>
  <c r="E63" i="31"/>
  <c r="E59" i="31"/>
  <c r="E55" i="31"/>
  <c r="E51" i="31"/>
  <c r="E47" i="31"/>
  <c r="E43" i="31"/>
  <c r="E39" i="31"/>
  <c r="E35" i="31"/>
  <c r="E31" i="31"/>
  <c r="J57" i="9"/>
  <c r="J59" i="9" s="1"/>
  <c r="J61" i="9" s="1"/>
  <c r="F124" i="34"/>
  <c r="G124" i="34" s="1"/>
  <c r="H124" i="34" s="1"/>
  <c r="I124" i="34" s="1"/>
  <c r="J124" i="34" s="1"/>
  <c r="K124" i="34" s="1"/>
  <c r="L124" i="34" s="1"/>
  <c r="M124" i="34" s="1"/>
  <c r="J43" i="34"/>
  <c r="AC43" i="34" s="1"/>
  <c r="F43" i="34"/>
  <c r="AA43" i="34" s="1"/>
  <c r="D33" i="43"/>
  <c r="D1" i="43" s="1"/>
  <c r="C34" i="82"/>
  <c r="C34" i="34"/>
  <c r="B24" i="31"/>
  <c r="B22" i="31" s="1"/>
  <c r="B14" i="74" s="1"/>
  <c r="BA15" i="3"/>
  <c r="J41" i="34"/>
  <c r="AC41" i="34" s="1"/>
  <c r="AA36" i="34"/>
  <c r="AB36" i="34"/>
  <c r="AC36" i="34"/>
  <c r="W41" i="34"/>
  <c r="W35" i="34"/>
  <c r="AB35" i="34"/>
  <c r="H43" i="34"/>
  <c r="U43" i="34" s="1"/>
  <c r="U27" i="34"/>
  <c r="AB41" i="34"/>
  <c r="U39" i="34"/>
  <c r="U38" i="34"/>
  <c r="AC38" i="34"/>
  <c r="S37" i="34"/>
  <c r="W33" i="34"/>
  <c r="AA33" i="34"/>
  <c r="AB8" i="34"/>
  <c r="W43" i="34"/>
  <c r="AC40" i="34"/>
  <c r="AB40" i="34"/>
  <c r="AA40" i="34"/>
  <c r="G1" i="15"/>
  <c r="B6" i="1"/>
  <c r="E6" i="1" s="1"/>
  <c r="K6" i="1"/>
  <c r="K1" i="12"/>
  <c r="BI5" i="3"/>
  <c r="BR5" i="3"/>
  <c r="AZ14" i="3"/>
  <c r="BE5" i="3"/>
  <c r="BP5" i="3"/>
  <c r="BL15" i="3"/>
  <c r="AZ15" i="3" s="1"/>
  <c r="AC23" i="34"/>
  <c r="S23" i="34"/>
  <c r="U21" i="34"/>
  <c r="AA19" i="34"/>
  <c r="W19" i="34"/>
  <c r="AC17" i="34"/>
  <c r="W25" i="34"/>
  <c r="AA25" i="34"/>
  <c r="AB23" i="34"/>
  <c r="U19" i="34"/>
  <c r="F78" i="34"/>
  <c r="G78" i="34" s="1"/>
  <c r="F15" i="34"/>
  <c r="AA15" i="34" s="1"/>
  <c r="J15" i="34"/>
  <c r="H15" i="34"/>
  <c r="AB15" i="34" s="1"/>
  <c r="BK5" i="3"/>
  <c r="BG5" i="3"/>
  <c r="BC5" i="3"/>
  <c r="BB5" i="3"/>
  <c r="G29" i="6"/>
  <c r="BL13" i="3"/>
  <c r="F34" i="15"/>
  <c r="F62" i="15" s="1"/>
  <c r="M20" i="67"/>
  <c r="F34" i="67"/>
  <c r="F62" i="67" s="1"/>
  <c r="C24" i="12"/>
  <c r="M18" i="67"/>
  <c r="F31" i="12"/>
  <c r="D68" i="9"/>
  <c r="M18" i="15"/>
  <c r="F30" i="11"/>
  <c r="C48" i="11" s="1"/>
  <c r="C40" i="68"/>
  <c r="C21" i="68"/>
  <c r="AZ334" i="3"/>
  <c r="AZ570" i="3"/>
  <c r="S14" i="34"/>
  <c r="AA14" i="34"/>
  <c r="S44" i="34"/>
  <c r="AA44" i="34"/>
  <c r="F9" i="33"/>
  <c r="AA9" i="33" s="1"/>
  <c r="J9" i="33"/>
  <c r="H9" i="33"/>
  <c r="AC27" i="35"/>
  <c r="W27" i="35"/>
  <c r="BA565" i="3"/>
  <c r="BL564" i="3"/>
  <c r="BA564" i="3"/>
  <c r="AZ564" i="3" s="1"/>
  <c r="BA561" i="3"/>
  <c r="AZ561" i="3" s="1"/>
  <c r="BA560" i="3"/>
  <c r="AZ560" i="3" s="1"/>
  <c r="BL558" i="3"/>
  <c r="AZ558" i="3" s="1"/>
  <c r="BL556" i="3"/>
  <c r="AZ556" i="3" s="1"/>
  <c r="U19" i="33"/>
  <c r="AC27" i="33"/>
  <c r="AC23" i="37"/>
  <c r="S17" i="37"/>
  <c r="F28" i="15"/>
  <c r="F32" i="67"/>
  <c r="F60" i="67" s="1"/>
  <c r="F28" i="67"/>
  <c r="AB33" i="34"/>
  <c r="AA32" i="37"/>
  <c r="AZ387" i="3"/>
  <c r="AZ362" i="3"/>
  <c r="AZ338" i="3"/>
  <c r="AZ390" i="3"/>
  <c r="AZ371" i="3"/>
  <c r="AZ351" i="3"/>
  <c r="AZ336" i="3"/>
  <c r="AZ305" i="3"/>
  <c r="AZ360" i="3"/>
  <c r="AZ547" i="3"/>
  <c r="AZ577" i="3"/>
  <c r="AZ527" i="3"/>
  <c r="AZ587" i="3"/>
  <c r="AZ508" i="3"/>
  <c r="AB46" i="34"/>
  <c r="U45" i="33"/>
  <c r="AB45" i="33"/>
  <c r="S29" i="35"/>
  <c r="AA29" i="35"/>
  <c r="AC9" i="34"/>
  <c r="W9" i="34"/>
  <c r="J14" i="33"/>
  <c r="F14" i="33"/>
  <c r="F44" i="33"/>
  <c r="J44" i="33"/>
  <c r="H31" i="34"/>
  <c r="J31" i="34"/>
  <c r="J25" i="35"/>
  <c r="F25" i="35"/>
  <c r="AC22" i="35"/>
  <c r="W22" i="35"/>
  <c r="H23" i="36"/>
  <c r="J23" i="36"/>
  <c r="AC31" i="40"/>
  <c r="W31" i="40"/>
  <c r="U30" i="36"/>
  <c r="AB30" i="36"/>
  <c r="BA584" i="3"/>
  <c r="AZ584" i="3" s="1"/>
  <c r="BL582" i="3"/>
  <c r="AZ582" i="3" s="1"/>
  <c r="BL581" i="3"/>
  <c r="BA581" i="3"/>
  <c r="BL580" i="3"/>
  <c r="BA580" i="3"/>
  <c r="AZ580" i="3" s="1"/>
  <c r="BL579" i="3"/>
  <c r="BA577" i="3"/>
  <c r="BA576" i="3"/>
  <c r="AZ576" i="3" s="1"/>
  <c r="BL574" i="3"/>
  <c r="AZ574" i="3" s="1"/>
  <c r="BA573" i="3"/>
  <c r="BL572" i="3"/>
  <c r="BA572" i="3"/>
  <c r="BL571" i="3"/>
  <c r="AZ571" i="3" s="1"/>
  <c r="BA569" i="3"/>
  <c r="AZ569" i="3" s="1"/>
  <c r="BA568" i="3"/>
  <c r="AZ568" i="3" s="1"/>
  <c r="BL566" i="3"/>
  <c r="AZ566" i="3" s="1"/>
  <c r="AZ349" i="3"/>
  <c r="AZ306" i="3"/>
  <c r="AZ502" i="3"/>
  <c r="U17" i="34"/>
  <c r="AB17" i="34"/>
  <c r="J45" i="21"/>
  <c r="F45" i="21"/>
  <c r="B101" i="43"/>
  <c r="B79" i="43"/>
  <c r="AB33" i="33"/>
  <c r="U33" i="33"/>
  <c r="AA38" i="40"/>
  <c r="S38" i="40"/>
  <c r="W17" i="21"/>
  <c r="AB36" i="33"/>
  <c r="F54" i="9"/>
  <c r="F32" i="15"/>
  <c r="F60" i="15" s="1"/>
  <c r="F52" i="9"/>
  <c r="F30" i="68"/>
  <c r="F48" i="68" s="1"/>
  <c r="S20" i="36"/>
  <c r="AA35" i="33"/>
  <c r="AC39" i="34"/>
  <c r="S20" i="35"/>
  <c r="AA34" i="33"/>
  <c r="AZ357" i="3"/>
  <c r="AZ313" i="3"/>
  <c r="AZ394" i="3"/>
  <c r="AA25" i="21"/>
  <c r="AZ513" i="3"/>
  <c r="AZ579" i="3"/>
  <c r="AZ512" i="3"/>
  <c r="AA14" i="37"/>
  <c r="S14" i="37"/>
  <c r="BL587" i="3"/>
  <c r="BA585" i="3"/>
  <c r="AA35" i="34"/>
  <c r="S35" i="34"/>
  <c r="U12" i="36"/>
  <c r="AB12" i="36"/>
  <c r="J12" i="36"/>
  <c r="F12" i="36"/>
  <c r="F32" i="36"/>
  <c r="H32" i="36"/>
  <c r="H27" i="37"/>
  <c r="J27" i="37"/>
  <c r="BA555" i="3"/>
  <c r="BL554" i="3"/>
  <c r="AZ554" i="3" s="1"/>
  <c r="BL585" i="3"/>
  <c r="AZ539" i="3"/>
  <c r="BL553" i="3"/>
  <c r="AZ553" i="3" s="1"/>
  <c r="BL565" i="3"/>
  <c r="AZ529" i="3"/>
  <c r="AZ537" i="3"/>
  <c r="AZ518" i="3"/>
  <c r="AZ546" i="3"/>
  <c r="F44" i="39"/>
  <c r="J38" i="40"/>
  <c r="G582" i="3"/>
  <c r="G574" i="3"/>
  <c r="BA551" i="3"/>
  <c r="AZ551" i="3" s="1"/>
  <c r="BA550" i="3"/>
  <c r="BL548" i="3"/>
  <c r="AZ548" i="3" s="1"/>
  <c r="AZ519" i="3"/>
  <c r="AZ531" i="3"/>
  <c r="BL559" i="3"/>
  <c r="AZ559" i="3" s="1"/>
  <c r="BL573" i="3"/>
  <c r="BL583" i="3"/>
  <c r="AZ583" i="3" s="1"/>
  <c r="G587" i="3"/>
  <c r="J24" i="36"/>
  <c r="H24" i="36"/>
  <c r="H39" i="40"/>
  <c r="W31" i="35"/>
  <c r="AC31" i="35"/>
  <c r="BL550" i="3"/>
  <c r="G558" i="3"/>
  <c r="G398" i="3"/>
  <c r="G399" i="3"/>
  <c r="BL400" i="3"/>
  <c r="AZ400" i="3" s="1"/>
  <c r="BA408" i="3"/>
  <c r="BA409" i="3"/>
  <c r="AZ409" i="3" s="1"/>
  <c r="BL412" i="3"/>
  <c r="BL417" i="3"/>
  <c r="BL418" i="3"/>
  <c r="BL421" i="3"/>
  <c r="BL422" i="3"/>
  <c r="BL427" i="3"/>
  <c r="G429" i="3"/>
  <c r="BL432" i="3"/>
  <c r="G449" i="3"/>
  <c r="AZ402" i="3"/>
  <c r="AZ406" i="3"/>
  <c r="BA417" i="3"/>
  <c r="BA398" i="3"/>
  <c r="AZ398" i="3" s="1"/>
  <c r="BA399" i="3"/>
  <c r="AZ399" i="3" s="1"/>
  <c r="BL401" i="3"/>
  <c r="BL404" i="3"/>
  <c r="BL411" i="3"/>
  <c r="BL414" i="3"/>
  <c r="BL415" i="3"/>
  <c r="BL419" i="3"/>
  <c r="AZ419" i="3" s="1"/>
  <c r="AZ422" i="3"/>
  <c r="BL424" i="3"/>
  <c r="AZ424" i="3" s="1"/>
  <c r="G427" i="3"/>
  <c r="BA428" i="3"/>
  <c r="AZ428" i="3" s="1"/>
  <c r="BA429" i="3"/>
  <c r="AZ429" i="3" s="1"/>
  <c r="BA430" i="3"/>
  <c r="AZ430" i="3" s="1"/>
  <c r="BL433" i="3"/>
  <c r="G438" i="3"/>
  <c r="BL16" i="3"/>
  <c r="AZ16" i="3" s="1"/>
  <c r="BA401" i="3"/>
  <c r="BA403" i="3"/>
  <c r="AZ403" i="3" s="1"/>
  <c r="BA404" i="3"/>
  <c r="AZ404" i="3" s="1"/>
  <c r="BA405" i="3"/>
  <c r="BL408" i="3"/>
  <c r="BA411" i="3"/>
  <c r="G423" i="3"/>
  <c r="BL425" i="3"/>
  <c r="BL426" i="3"/>
  <c r="BL431" i="3"/>
  <c r="BA451" i="3"/>
  <c r="AZ451" i="3" s="1"/>
  <c r="AZ458" i="3"/>
  <c r="AZ462" i="3"/>
  <c r="BA239" i="3"/>
  <c r="BL239" i="3"/>
  <c r="BA241" i="3"/>
  <c r="BL241" i="3"/>
  <c r="BA244" i="3"/>
  <c r="BL244" i="3"/>
  <c r="BA246" i="3"/>
  <c r="BA277" i="3"/>
  <c r="AZ277" i="3" s="1"/>
  <c r="BL277" i="3"/>
  <c r="BA282" i="3"/>
  <c r="BL282" i="3"/>
  <c r="BA284" i="3"/>
  <c r="BL293" i="3"/>
  <c r="BL294" i="3"/>
  <c r="BA297" i="3"/>
  <c r="BL297" i="3"/>
  <c r="BL300" i="3"/>
  <c r="BA302" i="3"/>
  <c r="BA117" i="3"/>
  <c r="BA124" i="3"/>
  <c r="AZ124" i="3" s="1"/>
  <c r="BL127" i="3"/>
  <c r="AZ127" i="3" s="1"/>
  <c r="G128" i="3"/>
  <c r="BA129" i="3"/>
  <c r="BL133" i="3"/>
  <c r="AZ133" i="3" s="1"/>
  <c r="BL134" i="3"/>
  <c r="BA432" i="3"/>
  <c r="AZ432" i="3" s="1"/>
  <c r="BA434" i="3"/>
  <c r="BA436" i="3"/>
  <c r="BA438" i="3"/>
  <c r="G443" i="3"/>
  <c r="BA446" i="3"/>
  <c r="BA450" i="3"/>
  <c r="BA453" i="3"/>
  <c r="AZ453" i="3" s="1"/>
  <c r="BA455" i="3"/>
  <c r="AZ455" i="3" s="1"/>
  <c r="BL457" i="3"/>
  <c r="BL460" i="3"/>
  <c r="BL461" i="3"/>
  <c r="BL463" i="3"/>
  <c r="BA471" i="3"/>
  <c r="AZ471" i="3" s="1"/>
  <c r="BL317" i="3"/>
  <c r="BA349" i="3"/>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AZ238" i="3" s="1"/>
  <c r="BA243" i="3"/>
  <c r="AZ243" i="3" s="1"/>
  <c r="BL248" i="3"/>
  <c r="AZ248" i="3" s="1"/>
  <c r="BL250" i="3"/>
  <c r="AZ250" i="3" s="1"/>
  <c r="BA259" i="3"/>
  <c r="AZ259" i="3" s="1"/>
  <c r="BL261" i="3"/>
  <c r="BA263" i="3"/>
  <c r="BA267" i="3"/>
  <c r="AZ267" i="3" s="1"/>
  <c r="BA269" i="3"/>
  <c r="AZ269" i="3" s="1"/>
  <c r="BA271" i="3"/>
  <c r="BL271" i="3"/>
  <c r="BA274" i="3"/>
  <c r="AZ274" i="3" s="1"/>
  <c r="BL274" i="3"/>
  <c r="BA276" i="3"/>
  <c r="G291" i="3"/>
  <c r="BA296" i="3"/>
  <c r="BA116" i="3"/>
  <c r="AZ116" i="3" s="1"/>
  <c r="BA121" i="3"/>
  <c r="BL121" i="3"/>
  <c r="BL123" i="3"/>
  <c r="AZ123" i="3" s="1"/>
  <c r="G136" i="3"/>
  <c r="BL405" i="3"/>
  <c r="BL407" i="3"/>
  <c r="AZ407" i="3" s="1"/>
  <c r="BA412" i="3"/>
  <c r="AZ412" i="3" s="1"/>
  <c r="BA414" i="3"/>
  <c r="BA415" i="3"/>
  <c r="BA416" i="3"/>
  <c r="AZ416" i="3" s="1"/>
  <c r="BA418" i="3"/>
  <c r="AZ418" i="3" s="1"/>
  <c r="BA421" i="3"/>
  <c r="AZ421" i="3" s="1"/>
  <c r="BA423" i="3"/>
  <c r="AZ423" i="3" s="1"/>
  <c r="BA425" i="3"/>
  <c r="AZ425" i="3" s="1"/>
  <c r="BA426" i="3"/>
  <c r="BA427" i="3"/>
  <c r="BA433" i="3"/>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G126" i="3"/>
  <c r="BA134" i="3"/>
  <c r="BL139" i="3"/>
  <c r="AZ139" i="3" s="1"/>
  <c r="G140" i="3"/>
  <c r="BL141" i="3"/>
  <c r="BL143" i="3"/>
  <c r="AZ143" i="3" s="1"/>
  <c r="G150" i="3"/>
  <c r="BL434" i="3"/>
  <c r="G436" i="3"/>
  <c r="BL438" i="3"/>
  <c r="BL439" i="3"/>
  <c r="AZ439" i="3" s="1"/>
  <c r="BA441" i="3"/>
  <c r="BL445" i="3"/>
  <c r="AZ445" i="3" s="1"/>
  <c r="BL446" i="3"/>
  <c r="BL449" i="3"/>
  <c r="BL450" i="3"/>
  <c r="BL452" i="3"/>
  <c r="G454" i="3"/>
  <c r="BL456" i="3"/>
  <c r="AZ456" i="3" s="1"/>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BA249" i="3"/>
  <c r="BL249" i="3"/>
  <c r="BA251" i="3"/>
  <c r="BL251" i="3"/>
  <c r="BA253" i="3"/>
  <c r="BL260" i="3"/>
  <c r="G262" i="3"/>
  <c r="BL263" i="3"/>
  <c r="G264" i="3"/>
  <c r="BL270" i="3"/>
  <c r="AZ270" i="3" s="1"/>
  <c r="BA272" i="3"/>
  <c r="AZ272" i="3" s="1"/>
  <c r="BL275" i="3"/>
  <c r="AZ275" i="3" s="1"/>
  <c r="G277" i="3"/>
  <c r="G280" i="3"/>
  <c r="BL285" i="3"/>
  <c r="BL287" i="3"/>
  <c r="BA290" i="3"/>
  <c r="AZ301" i="3"/>
  <c r="G146" i="3"/>
  <c r="G147" i="3"/>
  <c r="G154" i="3"/>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G51" i="3"/>
  <c r="BA52" i="3"/>
  <c r="AZ52" i="3" s="1"/>
  <c r="BA53" i="3"/>
  <c r="AZ53" i="3" s="1"/>
  <c r="BA54" i="3"/>
  <c r="BL57" i="3"/>
  <c r="G62" i="3"/>
  <c r="BL62" i="3"/>
  <c r="AZ62" i="3" s="1"/>
  <c r="BL63" i="3"/>
  <c r="G67" i="3"/>
  <c r="BL68" i="3"/>
  <c r="BA69" i="3"/>
  <c r="G89" i="3"/>
  <c r="BA98" i="3"/>
  <c r="D44" i="71"/>
  <c r="T44" i="71"/>
  <c r="D34" i="71"/>
  <c r="C35" i="71"/>
  <c r="C55" i="71"/>
  <c r="D54" i="71"/>
  <c r="D67" i="71"/>
  <c r="C66" i="71"/>
  <c r="O67" i="71"/>
  <c r="AZ177" i="3"/>
  <c r="C64" i="71"/>
  <c r="D64" i="71" s="1"/>
  <c r="D63" i="71"/>
  <c r="BA122" i="3"/>
  <c r="AZ122" i="3" s="1"/>
  <c r="BL125" i="3"/>
  <c r="AZ125" i="3" s="1"/>
  <c r="BL126" i="3"/>
  <c r="AZ126" i="3" s="1"/>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AZ20" i="3" s="1"/>
  <c r="BL25" i="3"/>
  <c r="AZ25" i="3" s="1"/>
  <c r="BL27" i="3"/>
  <c r="AZ27" i="3" s="1"/>
  <c r="BA28" i="3"/>
  <c r="AZ28" i="3" s="1"/>
  <c r="BA31" i="3"/>
  <c r="BA32" i="3"/>
  <c r="G38" i="3"/>
  <c r="BA38" i="3"/>
  <c r="AZ38" i="3" s="1"/>
  <c r="BA41" i="3"/>
  <c r="BA42" i="3"/>
  <c r="G47" i="3"/>
  <c r="BL48" i="3"/>
  <c r="BA51" i="3"/>
  <c r="G55" i="3"/>
  <c r="BL56" i="3"/>
  <c r="BA58" i="3"/>
  <c r="BL59" i="3"/>
  <c r="AZ59" i="3" s="1"/>
  <c r="BL60" i="3"/>
  <c r="BA61" i="3"/>
  <c r="AZ61" i="3" s="1"/>
  <c r="BL69" i="3"/>
  <c r="G70" i="3"/>
  <c r="BL70" i="3"/>
  <c r="BL71" i="3"/>
  <c r="BL72" i="3"/>
  <c r="AZ72" i="3" s="1"/>
  <c r="G74" i="3"/>
  <c r="BA75" i="3"/>
  <c r="G78" i="3"/>
  <c r="D31" i="71"/>
  <c r="C32" i="71"/>
  <c r="D50" i="71"/>
  <c r="C51" i="71"/>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BA48" i="3"/>
  <c r="BA49" i="3"/>
  <c r="AZ49" i="3" s="1"/>
  <c r="BL64" i="3"/>
  <c r="AZ64" i="3" s="1"/>
  <c r="BL65" i="3"/>
  <c r="AZ65" i="3" s="1"/>
  <c r="BL66" i="3"/>
  <c r="BL67" i="3"/>
  <c r="AZ67" i="3" s="1"/>
  <c r="AZ70" i="3"/>
  <c r="T28" i="71"/>
  <c r="D28" i="71"/>
  <c r="U28" i="71" s="1"/>
  <c r="C27" i="71"/>
  <c r="F66" i="71"/>
  <c r="Q65" i="71" s="1"/>
  <c r="Q67" i="71"/>
  <c r="V24" i="71"/>
  <c r="E23" i="71"/>
  <c r="E22" i="71" s="1"/>
  <c r="E21" i="71" s="1"/>
  <c r="E20" i="71" s="1"/>
  <c r="V20" i="71" s="1"/>
  <c r="BA73" i="3"/>
  <c r="BA80" i="3"/>
  <c r="BL84" i="3"/>
  <c r="BA89" i="3"/>
  <c r="G103" i="3"/>
  <c r="BA103" i="3"/>
  <c r="AZ103" i="3" s="1"/>
  <c r="BA104" i="3"/>
  <c r="BA106" i="3"/>
  <c r="AZ106" i="3" s="1"/>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0" i="3"/>
  <c r="AZ50" i="3" s="1"/>
  <c r="BL51" i="3"/>
  <c r="G53" i="3"/>
  <c r="BL53" i="3"/>
  <c r="BA56" i="3"/>
  <c r="BA57" i="3"/>
  <c r="BL58" i="3"/>
  <c r="G60" i="3"/>
  <c r="BA60" i="3"/>
  <c r="AZ60" i="3" s="1"/>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75" i="3"/>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52" i="3"/>
  <c r="AZ468" i="3"/>
  <c r="AZ470" i="3"/>
  <c r="W35" i="39"/>
  <c r="F27" i="34"/>
  <c r="C21" i="39"/>
  <c r="U9" i="36"/>
  <c r="U14" i="37"/>
  <c r="H12" i="21"/>
  <c r="G526" i="3"/>
  <c r="AZ420" i="3"/>
  <c r="AZ434" i="3"/>
  <c r="AZ436"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85" i="3"/>
  <c r="AZ193"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BA206" i="3"/>
  <c r="BL22" i="3"/>
  <c r="AZ22" i="3" s="1"/>
  <c r="BL33" i="3"/>
  <c r="AZ33" i="3" s="1"/>
  <c r="BL43" i="3"/>
  <c r="AZ43" i="3" s="1"/>
  <c r="BL46" i="3"/>
  <c r="AZ46" i="3" s="1"/>
  <c r="AZ54" i="3"/>
  <c r="AZ90" i="3"/>
  <c r="AZ92" i="3"/>
  <c r="BL78" i="3"/>
  <c r="BA83" i="3"/>
  <c r="G91" i="3"/>
  <c r="BL95" i="3"/>
  <c r="AZ95" i="3" s="1"/>
  <c r="BL98" i="3"/>
  <c r="BL109" i="3"/>
  <c r="AZ109" i="3" s="1"/>
  <c r="AB21" i="21"/>
  <c r="AZ78"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26" i="43" s="1"/>
  <c r="E29" i="6"/>
  <c r="K15" i="1"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Q71" i="67"/>
  <c r="B13" i="70"/>
  <c r="C36" i="68"/>
  <c r="D9" i="68"/>
  <c r="L47" i="67"/>
  <c r="M6" i="15"/>
  <c r="C76" i="15"/>
  <c r="J15" i="15"/>
  <c r="F13" i="15"/>
  <c r="F42" i="15"/>
  <c r="M8" i="67"/>
  <c r="F43" i="15"/>
  <c r="D3" i="73"/>
  <c r="M29" i="15"/>
  <c r="L48" i="15"/>
  <c r="F38" i="15"/>
  <c r="F16" i="15"/>
  <c r="J15" i="67"/>
  <c r="M28" i="67"/>
  <c r="D7" i="73"/>
  <c r="M8" i="15"/>
  <c r="F40" i="15"/>
  <c r="D4" i="73"/>
  <c r="M22" i="15"/>
  <c r="M6" i="67"/>
  <c r="F6" i="15"/>
  <c r="F9" i="15"/>
  <c r="M22" i="67"/>
  <c r="F8" i="67"/>
  <c r="D9" i="69"/>
  <c r="F36" i="15"/>
  <c r="M9" i="67"/>
  <c r="F7" i="67"/>
  <c r="M26" i="67"/>
  <c r="F40" i="67"/>
  <c r="M23" i="15"/>
  <c r="F9" i="67"/>
  <c r="F36" i="67"/>
  <c r="F43" i="67"/>
  <c r="M9" i="15"/>
  <c r="F42" i="67"/>
  <c r="F37" i="67"/>
  <c r="F38" i="67"/>
  <c r="M26" i="15"/>
  <c r="F26" i="15"/>
  <c r="M24" i="15"/>
  <c r="F8" i="15"/>
  <c r="F37" i="15"/>
  <c r="M23" i="67"/>
  <c r="F26" i="67"/>
  <c r="L47" i="15"/>
  <c r="D5" i="73"/>
  <c r="M29" i="67"/>
  <c r="C36" i="69"/>
  <c r="F7" i="15"/>
  <c r="L48" i="67"/>
  <c r="M28" i="15"/>
  <c r="F66" i="67" l="1"/>
  <c r="F51" i="67"/>
  <c r="F68" i="67"/>
  <c r="B19" i="71"/>
  <c r="B18" i="71" s="1"/>
  <c r="B17" i="71" s="1"/>
  <c r="B16" i="71" s="1"/>
  <c r="S20" i="71"/>
  <c r="S7" i="82"/>
  <c r="AA7" i="82"/>
  <c r="U12" i="34"/>
  <c r="AB12" i="34"/>
  <c r="T64" i="71"/>
  <c r="AZ296" i="3"/>
  <c r="AZ111" i="3"/>
  <c r="AZ71" i="3"/>
  <c r="AZ251" i="3"/>
  <c r="AZ134" i="3"/>
  <c r="AZ461" i="3"/>
  <c r="AZ263" i="3"/>
  <c r="AZ223" i="3"/>
  <c r="AZ446" i="3"/>
  <c r="AZ573" i="3"/>
  <c r="AZ572" i="3"/>
  <c r="AZ291" i="3"/>
  <c r="AZ235" i="3"/>
  <c r="D23" i="71"/>
  <c r="C22" i="71"/>
  <c r="H7" i="82"/>
  <c r="AZ47" i="3"/>
  <c r="AZ210" i="3"/>
  <c r="AZ397" i="3"/>
  <c r="AA27" i="21"/>
  <c r="S27" i="21"/>
  <c r="E59" i="40"/>
  <c r="AZ89" i="3"/>
  <c r="AZ98" i="3"/>
  <c r="AZ174" i="3"/>
  <c r="AZ41" i="3"/>
  <c r="AC7" i="82"/>
  <c r="W7" i="82"/>
  <c r="D60" i="71"/>
  <c r="T60" i="71"/>
  <c r="AZ138" i="3"/>
  <c r="E19" i="71"/>
  <c r="E18" i="71" s="1"/>
  <c r="E17" i="71" s="1"/>
  <c r="E16" i="71" s="1"/>
  <c r="AZ57" i="3"/>
  <c r="AZ58" i="3"/>
  <c r="AZ244" i="3"/>
  <c r="AZ239" i="3"/>
  <c r="AZ411" i="3"/>
  <c r="AZ146" i="3"/>
  <c r="AZ286" i="3"/>
  <c r="AZ97" i="3"/>
  <c r="AZ247" i="3"/>
  <c r="AZ413" i="3"/>
  <c r="AB38" i="40"/>
  <c r="U38" i="40"/>
  <c r="AC44" i="39"/>
  <c r="W44" i="39"/>
  <c r="S43" i="34"/>
  <c r="AB43" i="34"/>
  <c r="F71" i="67"/>
  <c r="AP6" i="1"/>
  <c r="C27" i="31"/>
  <c r="H34" i="34"/>
  <c r="F34" i="34"/>
  <c r="J34" i="34"/>
  <c r="C28" i="31"/>
  <c r="F34" i="82"/>
  <c r="J34" i="82"/>
  <c r="H34" i="82"/>
  <c r="C26" i="31"/>
  <c r="C25" i="31"/>
  <c r="M6" i="1"/>
  <c r="O6" i="1" s="1"/>
  <c r="F51" i="15"/>
  <c r="F50" i="15"/>
  <c r="M7" i="15"/>
  <c r="J6" i="15" s="1"/>
  <c r="J18" i="15" s="1"/>
  <c r="F68" i="15"/>
  <c r="F66" i="15"/>
  <c r="J57" i="15"/>
  <c r="J55" i="15" s="1"/>
  <c r="J58" i="15" s="1"/>
  <c r="Q50" i="15" s="1"/>
  <c r="I54" i="15"/>
  <c r="J53" i="15"/>
  <c r="L56" i="15" s="1"/>
  <c r="AC15" i="34"/>
  <c r="W15" i="34"/>
  <c r="U15" i="34"/>
  <c r="H16" i="1"/>
  <c r="K16" i="1"/>
  <c r="N370" i="46"/>
  <c r="G26" i="43"/>
  <c r="N94" i="46"/>
  <c r="H26" i="43"/>
  <c r="J26" i="43"/>
  <c r="E26" i="43"/>
  <c r="D26" i="43" s="1"/>
  <c r="C25" i="43" s="1"/>
  <c r="Q16" i="1"/>
  <c r="G16" i="1"/>
  <c r="F10" i="39" s="1"/>
  <c r="S10" i="39" s="1"/>
  <c r="F64" i="67"/>
  <c r="J57" i="67"/>
  <c r="J55" i="67" s="1"/>
  <c r="J58" i="67" s="1"/>
  <c r="Q50" i="67" s="1"/>
  <c r="I54" i="67"/>
  <c r="J53" i="67"/>
  <c r="F1" i="67" s="1"/>
  <c r="L56" i="67"/>
  <c r="F65" i="67"/>
  <c r="F31" i="15"/>
  <c r="C6" i="15"/>
  <c r="C32" i="15" s="1"/>
  <c r="F65" i="15"/>
  <c r="L59" i="67"/>
  <c r="Q74" i="67" s="1"/>
  <c r="L58" i="67"/>
  <c r="Q73" i="67" s="1"/>
  <c r="M59" i="67"/>
  <c r="N59" i="67"/>
  <c r="Q71" i="15"/>
  <c r="F71" i="15"/>
  <c r="F64" i="15"/>
  <c r="M7" i="67"/>
  <c r="J6" i="67" s="1"/>
  <c r="J18" i="67" s="1"/>
  <c r="F50" i="67"/>
  <c r="C49" i="67" s="1"/>
  <c r="F31" i="67"/>
  <c r="M59" i="15"/>
  <c r="N59" i="15"/>
  <c r="L58" i="15"/>
  <c r="Q73" i="15" s="1"/>
  <c r="L59" i="15"/>
  <c r="Q74" i="15" s="1"/>
  <c r="C27" i="67"/>
  <c r="C27" i="15"/>
  <c r="J7" i="37"/>
  <c r="G5" i="3"/>
  <c r="B3" i="3" s="1"/>
  <c r="E409" i="3" s="1"/>
  <c r="D79" i="71"/>
  <c r="C78" i="71"/>
  <c r="D78" i="71" s="1"/>
  <c r="T32" i="71"/>
  <c r="D32" i="71"/>
  <c r="AZ51" i="3"/>
  <c r="AZ31" i="3"/>
  <c r="AZ69" i="3"/>
  <c r="AZ284" i="3"/>
  <c r="AZ408" i="3"/>
  <c r="U39" i="40"/>
  <c r="AB39" i="40"/>
  <c r="AZ550" i="3"/>
  <c r="AC38" i="40"/>
  <c r="W38" i="40"/>
  <c r="W27" i="37"/>
  <c r="AC27" i="37"/>
  <c r="S12" i="36"/>
  <c r="AA12" i="36"/>
  <c r="W45" i="21"/>
  <c r="AC45" i="21"/>
  <c r="W31" i="34"/>
  <c r="AC31" i="34"/>
  <c r="AA14" i="33"/>
  <c r="S14" i="33"/>
  <c r="D83" i="71"/>
  <c r="C82" i="71"/>
  <c r="D82" i="71" s="1"/>
  <c r="C26" i="71"/>
  <c r="D26" i="71" s="1"/>
  <c r="D27" i="71"/>
  <c r="AZ130" i="3"/>
  <c r="C56" i="71"/>
  <c r="D55" i="71"/>
  <c r="AZ45" i="3"/>
  <c r="AZ5" i="3" s="1"/>
  <c r="AZ197" i="3"/>
  <c r="AZ332" i="3"/>
  <c r="AZ297" i="3"/>
  <c r="AZ401" i="3"/>
  <c r="AB24" i="36"/>
  <c r="U24" i="36"/>
  <c r="AA44" i="39"/>
  <c r="S44" i="39"/>
  <c r="U27" i="37"/>
  <c r="AB27" i="37"/>
  <c r="AC12" i="36"/>
  <c r="W12" i="36"/>
  <c r="AC14" i="33"/>
  <c r="W14" i="33"/>
  <c r="AB9" i="33"/>
  <c r="U9" i="33"/>
  <c r="AZ83" i="3"/>
  <c r="C70" i="71"/>
  <c r="D70" i="71" s="1"/>
  <c r="D71" i="71"/>
  <c r="C52" i="71"/>
  <c r="D51" i="71"/>
  <c r="O65" i="71"/>
  <c r="D66" i="71"/>
  <c r="O66" i="71"/>
  <c r="C36" i="71"/>
  <c r="D35" i="71"/>
  <c r="AZ249" i="3"/>
  <c r="AZ464" i="3"/>
  <c r="AZ441" i="3"/>
  <c r="AZ460" i="3"/>
  <c r="AZ433" i="3"/>
  <c r="AZ415" i="3"/>
  <c r="AZ121" i="3"/>
  <c r="AZ271" i="3"/>
  <c r="AZ368" i="3"/>
  <c r="AZ353" i="3"/>
  <c r="AZ302" i="3"/>
  <c r="AZ282" i="3"/>
  <c r="AZ241" i="3"/>
  <c r="AZ405" i="3"/>
  <c r="AC24" i="36"/>
  <c r="W24" i="36"/>
  <c r="AB32" i="36"/>
  <c r="U32" i="36"/>
  <c r="AZ585" i="3"/>
  <c r="AC23" i="36"/>
  <c r="W23" i="36"/>
  <c r="S25" i="35"/>
  <c r="AA25" i="35"/>
  <c r="W44" i="33"/>
  <c r="AC44" i="33"/>
  <c r="AZ565" i="3"/>
  <c r="AC9" i="33"/>
  <c r="W9" i="33"/>
  <c r="J7" i="36"/>
  <c r="AZ206" i="3"/>
  <c r="AZ170" i="3"/>
  <c r="AZ285" i="3"/>
  <c r="AZ492" i="3"/>
  <c r="AZ333" i="3"/>
  <c r="C40" i="71"/>
  <c r="D39" i="71"/>
  <c r="D75" i="71"/>
  <c r="C74" i="71"/>
  <c r="D74" i="71" s="1"/>
  <c r="AZ75" i="3"/>
  <c r="AZ190" i="3"/>
  <c r="AZ427" i="3"/>
  <c r="AZ414" i="3"/>
  <c r="AZ417" i="3"/>
  <c r="AA32" i="36"/>
  <c r="S32" i="36"/>
  <c r="AA45" i="21"/>
  <c r="S45" i="21"/>
  <c r="AB23" i="36"/>
  <c r="U23" i="36"/>
  <c r="AC25" i="35"/>
  <c r="W25" i="35"/>
  <c r="S44" i="33"/>
  <c r="AA44" i="33"/>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AC7" i="37"/>
  <c r="W7" i="37"/>
  <c r="AB7" i="36"/>
  <c r="T36" i="36" s="1"/>
  <c r="G36" i="36" s="1"/>
  <c r="F7" i="33"/>
  <c r="E58" i="21"/>
  <c r="AC7" i="36"/>
  <c r="V36" i="36" s="1"/>
  <c r="I36" i="36" s="1"/>
  <c r="W7" i="36"/>
  <c r="F7" i="37"/>
  <c r="M17" i="15"/>
  <c r="F59" i="15"/>
  <c r="P28" i="43"/>
  <c r="B66" i="40" s="1"/>
  <c r="P25" i="43"/>
  <c r="P29" i="43"/>
  <c r="P27" i="43"/>
  <c r="B70" i="39" s="1"/>
  <c r="M11" i="67"/>
  <c r="J10" i="67" s="1"/>
  <c r="F11" i="15"/>
  <c r="M11" i="15"/>
  <c r="J10" i="15" s="1"/>
  <c r="F11" i="67"/>
  <c r="AE11" i="1"/>
  <c r="AE9" i="1"/>
  <c r="AE7" i="1"/>
  <c r="AE8" i="1"/>
  <c r="AE12" i="1"/>
  <c r="AE10" i="1"/>
  <c r="G1" i="73"/>
  <c r="C16" i="67"/>
  <c r="AE6" i="1"/>
  <c r="F27" i="69"/>
  <c r="C16" i="15"/>
  <c r="U7" i="82" l="1"/>
  <c r="AB7" i="82"/>
  <c r="D22" i="71"/>
  <c r="C21" i="71"/>
  <c r="E131" i="3"/>
  <c r="E148" i="3"/>
  <c r="M6" i="3"/>
  <c r="Z6" i="3"/>
  <c r="E380" i="3"/>
  <c r="E314" i="3"/>
  <c r="E580" i="3"/>
  <c r="J10" i="40"/>
  <c r="AC10" i="40" s="1"/>
  <c r="E263" i="3"/>
  <c r="E509" i="3"/>
  <c r="E587" i="3"/>
  <c r="E186" i="3"/>
  <c r="E294" i="3"/>
  <c r="E179" i="3"/>
  <c r="S34" i="82"/>
  <c r="AA34" i="82"/>
  <c r="R49" i="82" s="1"/>
  <c r="AB34" i="34"/>
  <c r="T49" i="34" s="1"/>
  <c r="G49" i="34" s="1"/>
  <c r="G53" i="34" s="1"/>
  <c r="H53" i="34" s="1"/>
  <c r="U34" i="34"/>
  <c r="E535" i="3"/>
  <c r="AJ6" i="3"/>
  <c r="E133" i="3"/>
  <c r="E358" i="3"/>
  <c r="E58" i="3"/>
  <c r="E119" i="3"/>
  <c r="E335" i="3"/>
  <c r="E28" i="3"/>
  <c r="E528" i="3"/>
  <c r="E519" i="3"/>
  <c r="E444" i="3"/>
  <c r="AB34" i="82"/>
  <c r="T49" i="82" s="1"/>
  <c r="G49" i="82" s="1"/>
  <c r="U34" i="82"/>
  <c r="AC34" i="34"/>
  <c r="W34" i="34"/>
  <c r="E515" i="3"/>
  <c r="AY6" i="3"/>
  <c r="AC34" i="82"/>
  <c r="V49" i="82" s="1"/>
  <c r="I49" i="82" s="1"/>
  <c r="W34" i="82"/>
  <c r="AA34" i="34"/>
  <c r="S34" i="34"/>
  <c r="C47" i="69"/>
  <c r="D45" i="69" s="1"/>
  <c r="C49" i="15"/>
  <c r="J5" i="15"/>
  <c r="J24" i="15" s="1"/>
  <c r="H10" i="40"/>
  <c r="AB10" i="40" s="1"/>
  <c r="Q52" i="15"/>
  <c r="F27" i="11"/>
  <c r="C29" i="11" s="1"/>
  <c r="D27" i="11" s="1"/>
  <c r="F1" i="15"/>
  <c r="E378" i="3"/>
  <c r="E248" i="3"/>
  <c r="E246" i="3"/>
  <c r="E563" i="3"/>
  <c r="E570" i="3"/>
  <c r="E217" i="3"/>
  <c r="E368" i="3"/>
  <c r="E181" i="3"/>
  <c r="E388" i="3"/>
  <c r="E567" i="3"/>
  <c r="E336" i="3"/>
  <c r="E366" i="3"/>
  <c r="E429" i="3"/>
  <c r="L6" i="3"/>
  <c r="E139" i="3"/>
  <c r="E369" i="3"/>
  <c r="E275" i="3"/>
  <c r="E423" i="3"/>
  <c r="E278" i="3"/>
  <c r="E247" i="3"/>
  <c r="E273" i="3"/>
  <c r="E315" i="3"/>
  <c r="E91" i="3"/>
  <c r="E175" i="3"/>
  <c r="E150" i="3"/>
  <c r="E395" i="3"/>
  <c r="E295" i="3"/>
  <c r="E302" i="3"/>
  <c r="E34" i="3"/>
  <c r="Q61" i="67"/>
  <c r="AA10" i="39"/>
  <c r="F45" i="69"/>
  <c r="E94" i="3"/>
  <c r="E219" i="3"/>
  <c r="E242" i="3"/>
  <c r="X6" i="3"/>
  <c r="E161" i="3"/>
  <c r="E215" i="3"/>
  <c r="E201" i="3"/>
  <c r="E526" i="3"/>
  <c r="E345" i="3"/>
  <c r="E106" i="3"/>
  <c r="E124" i="3"/>
  <c r="E270" i="3"/>
  <c r="AS6" i="3"/>
  <c r="E571" i="3"/>
  <c r="E61" i="3"/>
  <c r="E516" i="3"/>
  <c r="E576" i="3"/>
  <c r="E207" i="3"/>
  <c r="E35" i="3"/>
  <c r="E118" i="3"/>
  <c r="E200" i="3"/>
  <c r="E191" i="3"/>
  <c r="E387" i="3"/>
  <c r="E431" i="3"/>
  <c r="E211" i="3"/>
  <c r="E400" i="3"/>
  <c r="E214" i="3"/>
  <c r="E406" i="3"/>
  <c r="E586" i="3"/>
  <c r="E538" i="3"/>
  <c r="E508" i="3"/>
  <c r="E162" i="3"/>
  <c r="E107" i="3"/>
  <c r="E457" i="3"/>
  <c r="E85" i="3"/>
  <c r="E290" i="3"/>
  <c r="E407" i="3"/>
  <c r="E151" i="3"/>
  <c r="E239" i="3"/>
  <c r="E480" i="3"/>
  <c r="E166" i="3"/>
  <c r="E164" i="3"/>
  <c r="E256" i="3"/>
  <c r="E344" i="3"/>
  <c r="E523" i="3"/>
  <c r="E54" i="3"/>
  <c r="E584" i="3"/>
  <c r="E365" i="3"/>
  <c r="E25" i="3"/>
  <c r="E115" i="3"/>
  <c r="E198" i="3"/>
  <c r="E487" i="3"/>
  <c r="E296" i="3"/>
  <c r="E385" i="3"/>
  <c r="E445" i="3"/>
  <c r="E69" i="3"/>
  <c r="E514" i="3"/>
  <c r="E322" i="3"/>
  <c r="E109" i="3"/>
  <c r="E489" i="3"/>
  <c r="E327" i="3"/>
  <c r="E227" i="3"/>
  <c r="E454" i="3"/>
  <c r="E277" i="3"/>
  <c r="E568" i="3"/>
  <c r="E180" i="3"/>
  <c r="E261" i="3"/>
  <c r="E143" i="3"/>
  <c r="E44" i="3"/>
  <c r="E505" i="3"/>
  <c r="E31" i="3"/>
  <c r="E111" i="3"/>
  <c r="E193" i="3"/>
  <c r="E518" i="3"/>
  <c r="E415" i="3"/>
  <c r="E581" i="3"/>
  <c r="E142" i="3"/>
  <c r="E240" i="3"/>
  <c r="E483" i="3"/>
  <c r="E132" i="3"/>
  <c r="E100" i="3"/>
  <c r="AI6" i="3"/>
  <c r="E135" i="3"/>
  <c r="E172" i="3"/>
  <c r="E189" i="3"/>
  <c r="AB6" i="3"/>
  <c r="E311" i="3"/>
  <c r="E579" i="3"/>
  <c r="E268" i="3"/>
  <c r="E572" i="3"/>
  <c r="E182" i="3"/>
  <c r="E531" i="3"/>
  <c r="E485" i="3"/>
  <c r="E204" i="3"/>
  <c r="E74" i="3"/>
  <c r="E171" i="3"/>
  <c r="E468" i="3"/>
  <c r="E472" i="3"/>
  <c r="E228" i="3"/>
  <c r="E347" i="3"/>
  <c r="E350" i="3"/>
  <c r="E503" i="3"/>
  <c r="E216" i="3"/>
  <c r="E561" i="3"/>
  <c r="E337" i="3"/>
  <c r="E343" i="3"/>
  <c r="E384" i="3"/>
  <c r="E27" i="3"/>
  <c r="E414" i="3"/>
  <c r="E271" i="3"/>
  <c r="E318" i="3"/>
  <c r="E433" i="3"/>
  <c r="E527" i="3"/>
  <c r="E45" i="3"/>
  <c r="E253" i="3"/>
  <c r="E578" i="3"/>
  <c r="E117" i="3"/>
  <c r="E130" i="3"/>
  <c r="V6" i="3"/>
  <c r="E229" i="3"/>
  <c r="E282" i="3"/>
  <c r="E30" i="3"/>
  <c r="E121" i="3"/>
  <c r="E443" i="3"/>
  <c r="I6" i="3"/>
  <c r="E203" i="3"/>
  <c r="Q6" i="3"/>
  <c r="E426" i="3"/>
  <c r="E224" i="3"/>
  <c r="E48" i="3"/>
  <c r="E289" i="3"/>
  <c r="E422" i="3"/>
  <c r="E408" i="3"/>
  <c r="E67" i="3"/>
  <c r="E377" i="3"/>
  <c r="E70" i="3"/>
  <c r="E557" i="3"/>
  <c r="AO6" i="3"/>
  <c r="E89" i="3"/>
  <c r="E362" i="3"/>
  <c r="E146"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E448" i="3"/>
  <c r="E32" i="3"/>
  <c r="E55" i="3"/>
  <c r="E238" i="3"/>
  <c r="E92" i="3"/>
  <c r="E187" i="3"/>
  <c r="E416" i="3"/>
  <c r="E234" i="3"/>
  <c r="E16" i="3"/>
  <c r="E197" i="3"/>
  <c r="E510" i="3"/>
  <c r="E536" i="3"/>
  <c r="E554" i="3"/>
  <c r="E349" i="3"/>
  <c r="E64" i="3"/>
  <c r="E310" i="3"/>
  <c r="E233" i="3"/>
  <c r="E309" i="3"/>
  <c r="AL6" i="3"/>
  <c r="E235" i="3"/>
  <c r="E499" i="3"/>
  <c r="E479" i="3"/>
  <c r="E59" i="3"/>
  <c r="E160"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42" i="3"/>
  <c r="E330" i="3"/>
  <c r="E280" i="3"/>
  <c r="E304" i="3"/>
  <c r="S6" i="3"/>
  <c r="E319" i="3"/>
  <c r="E547" i="3"/>
  <c r="E196" i="3"/>
  <c r="E537" i="3"/>
  <c r="E136" i="3"/>
  <c r="E413" i="3"/>
  <c r="E163" i="3"/>
  <c r="E297" i="3"/>
  <c r="E354" i="3"/>
  <c r="E244" i="3"/>
  <c r="E460" i="3"/>
  <c r="E265" i="3"/>
  <c r="E112" i="3"/>
  <c r="E38" i="3"/>
  <c r="E372" i="3"/>
  <c r="E401" i="3"/>
  <c r="E543" i="3"/>
  <c r="E329" i="3"/>
  <c r="E220" i="3"/>
  <c r="E420" i="3"/>
  <c r="E512" i="3"/>
  <c r="E22" i="3"/>
  <c r="E174" i="3"/>
  <c r="E283" i="3"/>
  <c r="E371" i="3"/>
  <c r="E292" i="3"/>
  <c r="E424" i="3"/>
  <c r="E177" i="3"/>
  <c r="E303" i="3"/>
  <c r="E237" i="3"/>
  <c r="E285" i="3"/>
  <c r="E317" i="3"/>
  <c r="E367" i="3"/>
  <c r="E14" i="3"/>
  <c r="E474" i="3"/>
  <c r="E461" i="3"/>
  <c r="E87" i="3"/>
  <c r="E374" i="3"/>
  <c r="E436" i="3"/>
  <c r="E446" i="3"/>
  <c r="E24" i="3"/>
  <c r="E566" i="3"/>
  <c r="E62" i="3"/>
  <c r="E392" i="3"/>
  <c r="E79" i="3"/>
  <c r="E276" i="3"/>
  <c r="AH6" i="3"/>
  <c r="E564" i="3"/>
  <c r="E158" i="3"/>
  <c r="E428" i="3"/>
  <c r="E470" i="3"/>
  <c r="E405" i="3"/>
  <c r="E102" i="3"/>
  <c r="E18" i="3"/>
  <c r="E63" i="3"/>
  <c r="E267" i="3"/>
  <c r="E95" i="3"/>
  <c r="P6" i="3"/>
  <c r="E252" i="3"/>
  <c r="E274" i="3"/>
  <c r="E496" i="3"/>
  <c r="E481" i="3"/>
  <c r="E434" i="3"/>
  <c r="E159" i="3"/>
  <c r="E321" i="3"/>
  <c r="E328" i="3"/>
  <c r="E291" i="3"/>
  <c r="E411" i="3"/>
  <c r="E168" i="3"/>
  <c r="E529" i="3"/>
  <c r="E127" i="3"/>
  <c r="AD6" i="3"/>
  <c r="E542" i="3"/>
  <c r="E149" i="3"/>
  <c r="E500" i="3"/>
  <c r="E386" i="3"/>
  <c r="E141" i="3"/>
  <c r="E340" i="3"/>
  <c r="E325" i="3"/>
  <c r="E473" i="3"/>
  <c r="E108" i="3"/>
  <c r="E376" i="3"/>
  <c r="E105" i="3"/>
  <c r="E49" i="3"/>
  <c r="E356" i="3"/>
  <c r="E497" i="3"/>
  <c r="E173" i="3"/>
  <c r="AF6" i="3"/>
  <c r="E391" i="3"/>
  <c r="E184" i="3"/>
  <c r="E467" i="3"/>
  <c r="E255" i="3"/>
  <c r="J10" i="39"/>
  <c r="W10" i="39" s="1"/>
  <c r="F27" i="68"/>
  <c r="C29" i="68" s="1"/>
  <c r="D27" i="68" s="1"/>
  <c r="F10" i="40"/>
  <c r="S10" i="40" s="1"/>
  <c r="C29" i="69"/>
  <c r="D27" i="69" s="1"/>
  <c r="H10" i="39"/>
  <c r="U10" i="39" s="1"/>
  <c r="F28" i="12"/>
  <c r="C29" i="12" s="1"/>
  <c r="D28" i="12" s="1"/>
  <c r="E3" i="6"/>
  <c r="D37" i="11" s="1"/>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544" i="3"/>
  <c r="E241" i="3"/>
  <c r="E417" i="3"/>
  <c r="E449" i="3"/>
  <c r="E575"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389" i="3"/>
  <c r="E152" i="3"/>
  <c r="E517" i="3"/>
  <c r="E466" i="3"/>
  <c r="E212" i="3"/>
  <c r="Q60" i="15"/>
  <c r="Q60" i="67"/>
  <c r="Q61" i="15"/>
  <c r="Q52" i="67"/>
  <c r="M17" i="67"/>
  <c r="J5" i="67"/>
  <c r="J24" i="67" s="1"/>
  <c r="E258" i="3"/>
  <c r="E37" i="3"/>
  <c r="E491" i="3"/>
  <c r="AP6" i="3"/>
  <c r="E430" i="3"/>
  <c r="E502" i="3"/>
  <c r="E286" i="3"/>
  <c r="E539" i="3"/>
  <c r="D56" i="71"/>
  <c r="T56" i="71"/>
  <c r="E76" i="3"/>
  <c r="E363" i="3"/>
  <c r="E192" i="3"/>
  <c r="E56" i="3"/>
  <c r="E435" i="3"/>
  <c r="I3" i="6"/>
  <c r="E541" i="3"/>
  <c r="R6" i="3"/>
  <c r="E199" i="3"/>
  <c r="T40" i="71"/>
  <c r="D40" i="71"/>
  <c r="T36" i="71"/>
  <c r="D36"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53" i="15"/>
  <c r="C10" i="15"/>
  <c r="C5" i="15" s="1"/>
  <c r="C38" i="15" s="1"/>
  <c r="F41" i="67"/>
  <c r="F41" i="15"/>
  <c r="M27" i="15"/>
  <c r="M27" i="67"/>
  <c r="D21" i="71" l="1"/>
  <c r="C20" i="71"/>
  <c r="V49" i="34"/>
  <c r="I49" i="34" s="1"/>
  <c r="I53" i="34" s="1"/>
  <c r="J53" i="34" s="1"/>
  <c r="F69" i="67"/>
  <c r="R49" i="34"/>
  <c r="E49" i="34" s="1"/>
  <c r="G53" i="82"/>
  <c r="H53" i="82" s="1"/>
  <c r="G54" i="82"/>
  <c r="H54" i="82" s="1"/>
  <c r="I53" i="82"/>
  <c r="J53" i="82" s="1"/>
  <c r="R50" i="82"/>
  <c r="E49" i="82"/>
  <c r="I54" i="82" s="1"/>
  <c r="J54" i="82" s="1"/>
  <c r="C48" i="15"/>
  <c r="C66" i="15" s="1"/>
  <c r="C47" i="68"/>
  <c r="D45" i="68" s="1"/>
  <c r="F45" i="68"/>
  <c r="D3" i="33"/>
  <c r="D3" i="34"/>
  <c r="E6" i="6"/>
  <c r="AC6" i="3"/>
  <c r="H6" i="3"/>
  <c r="AA10" i="40"/>
  <c r="D14" i="12"/>
  <c r="D17" i="12" s="1"/>
  <c r="C17" i="12" s="1"/>
  <c r="D3" i="37"/>
  <c r="D19" i="11"/>
  <c r="C19" i="11" s="1"/>
  <c r="C20" i="11" s="1"/>
  <c r="C28" i="11" s="1"/>
  <c r="C27" i="11" s="1"/>
  <c r="D116" i="43"/>
  <c r="F22" i="11"/>
  <c r="F24" i="15"/>
  <c r="C24" i="15" s="1"/>
  <c r="F22" i="69"/>
  <c r="F41" i="69" s="1"/>
  <c r="F22" i="68"/>
  <c r="F41" i="68" s="1"/>
  <c r="F25" i="12"/>
  <c r="C26" i="12" s="1"/>
  <c r="D25" i="12" s="1"/>
  <c r="F24" i="67"/>
  <c r="C24" i="67"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D26" i="6"/>
  <c r="D8" i="6"/>
  <c r="D14" i="6"/>
  <c r="D6" i="6"/>
  <c r="D9" i="6"/>
  <c r="D10" i="6"/>
  <c r="D29" i="6"/>
  <c r="H22"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6" i="67"/>
  <c r="C60" i="67"/>
  <c r="D10" i="68"/>
  <c r="C34" i="69"/>
  <c r="D10" i="69"/>
  <c r="C14" i="67"/>
  <c r="C17" i="15"/>
  <c r="C17" i="67"/>
  <c r="G54" i="34" l="1"/>
  <c r="H54" i="34" s="1"/>
  <c r="D20" i="71"/>
  <c r="U20" i="71" s="1"/>
  <c r="C19" i="71"/>
  <c r="T20" i="71"/>
  <c r="D30" i="6"/>
  <c r="R50" i="34"/>
  <c r="C50" i="34" s="1"/>
  <c r="E54" i="82"/>
  <c r="F54" i="82" s="1"/>
  <c r="E53" i="82"/>
  <c r="F53" i="82" s="1"/>
  <c r="C50" i="82"/>
  <c r="C49" i="82"/>
  <c r="C60" i="15"/>
  <c r="C24" i="11"/>
  <c r="E6" i="3"/>
  <c r="C23" i="11"/>
  <c r="H24" i="6"/>
  <c r="R24" i="6" s="1"/>
  <c r="R11" i="1" s="1"/>
  <c r="H21" i="6"/>
  <c r="C44" i="11"/>
  <c r="D41" i="11" s="1"/>
  <c r="C26" i="11"/>
  <c r="D22" i="11" s="1"/>
  <c r="C26" i="69"/>
  <c r="D22" i="69" s="1"/>
  <c r="C44" i="69"/>
  <c r="D41" i="69" s="1"/>
  <c r="C26" i="68"/>
  <c r="D22" i="68" s="1"/>
  <c r="C23" i="68"/>
  <c r="C44" i="68"/>
  <c r="D41" i="68" s="1"/>
  <c r="H25" i="6"/>
  <c r="C25" i="1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R23" i="6"/>
  <c r="R10" i="1" s="1"/>
  <c r="D27" i="6"/>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E6" i="76"/>
  <c r="B6" i="76"/>
  <c r="D31" i="6" l="1"/>
  <c r="D19" i="71"/>
  <c r="C18" i="71"/>
  <c r="C49" i="34"/>
  <c r="U6" i="1"/>
  <c r="B3" i="82"/>
  <c r="B2" i="82"/>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D18" i="71" l="1"/>
  <c r="C17" i="71"/>
  <c r="C6" i="67"/>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C32" i="67"/>
  <c r="C10" i="67"/>
  <c r="C5" i="67" s="1"/>
  <c r="C38" i="67" s="1"/>
  <c r="C33" i="67"/>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M21" i="67"/>
  <c r="F35" i="15"/>
  <c r="F35" i="67"/>
  <c r="C15" i="71" l="1"/>
  <c r="T16" i="71"/>
  <c r="D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U16" i="71" l="1"/>
  <c r="M23" i="43"/>
  <c r="D15" i="71"/>
  <c r="C14"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7"/>
  <c r="D19" i="86"/>
  <c r="D19" i="85"/>
  <c r="D19" i="84"/>
  <c r="D19" i="83"/>
  <c r="L51" i="15"/>
  <c r="D19" i="9"/>
  <c r="D2" i="37"/>
  <c r="D2" i="36"/>
  <c r="D2" i="35"/>
  <c r="D2" i="34"/>
  <c r="D102" i="87" l="1"/>
  <c r="D21" i="87"/>
  <c r="D22" i="87"/>
  <c r="G19" i="87"/>
  <c r="G21" i="87" s="1"/>
  <c r="D21" i="86"/>
  <c r="D102" i="86"/>
  <c r="D22" i="86"/>
  <c r="G19" i="86"/>
  <c r="G21" i="86" s="1"/>
  <c r="D102" i="85"/>
  <c r="D21" i="85"/>
  <c r="D22" i="85"/>
  <c r="G19" i="85"/>
  <c r="G21" i="85" s="1"/>
  <c r="D102" i="84"/>
  <c r="D21" i="84"/>
  <c r="D22" i="84"/>
  <c r="G19" i="84"/>
  <c r="G21" i="84" s="1"/>
  <c r="D102" i="83"/>
  <c r="D21" i="83"/>
  <c r="D22" i="83"/>
  <c r="G19" i="83"/>
  <c r="G21" i="83" s="1"/>
  <c r="C11" i="71"/>
  <c r="T12"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87"/>
  <c r="D20" i="86"/>
  <c r="D20" i="85"/>
  <c r="D20" i="84"/>
  <c r="D20" i="83"/>
  <c r="AO9" i="1"/>
  <c r="AO6" i="1"/>
  <c r="AO10" i="1"/>
  <c r="AO12" i="1"/>
  <c r="AO11" i="1"/>
  <c r="AO8" i="1"/>
  <c r="C19" i="9"/>
  <c r="AO7" i="1"/>
  <c r="D20" i="9"/>
  <c r="D103" i="87" l="1"/>
  <c r="G20" i="87"/>
  <c r="C32" i="87" s="1"/>
  <c r="D103" i="86"/>
  <c r="G20" i="86"/>
  <c r="C32" i="86" s="1"/>
  <c r="D103" i="85"/>
  <c r="G20" i="85"/>
  <c r="C32" i="85" s="1"/>
  <c r="D103" i="84"/>
  <c r="G20" i="84"/>
  <c r="C32" i="84" s="1"/>
  <c r="D103" i="83"/>
  <c r="G20" i="83"/>
  <c r="C32" i="83" s="1"/>
  <c r="C10" i="71"/>
  <c r="D11" i="71"/>
  <c r="C102" i="9"/>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I118" i="87" l="1"/>
  <c r="D34" i="87"/>
  <c r="D35" i="87"/>
  <c r="I118" i="86"/>
  <c r="D34" i="86"/>
  <c r="D35" i="86"/>
  <c r="I118" i="85"/>
  <c r="D35" i="85"/>
  <c r="D34" i="85"/>
  <c r="I118" i="84"/>
  <c r="D35" i="84"/>
  <c r="D34" i="84"/>
  <c r="I118" i="83"/>
  <c r="D34" i="83"/>
  <c r="D35" i="83"/>
  <c r="D10" i="71"/>
  <c r="C9" i="71"/>
  <c r="C103" i="9"/>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5" i="87" l="1"/>
  <c r="H118" i="87"/>
  <c r="H102" i="87"/>
  <c r="C105" i="86"/>
  <c r="H118" i="86"/>
  <c r="H102" i="86"/>
  <c r="C105" i="85"/>
  <c r="H118" i="85"/>
  <c r="H102" i="85"/>
  <c r="C105" i="84"/>
  <c r="H118" i="84"/>
  <c r="H102" i="84"/>
  <c r="C105" i="83"/>
  <c r="H118" i="83"/>
  <c r="H102" i="83"/>
  <c r="C8" i="71"/>
  <c r="D9" i="71"/>
  <c r="D35" i="9"/>
  <c r="C34" i="9"/>
  <c r="D34" i="9" s="1"/>
  <c r="C42" i="40"/>
  <c r="C43" i="40"/>
  <c r="E47" i="40"/>
  <c r="F47" i="40" s="1"/>
  <c r="E46" i="40"/>
  <c r="F46" i="40" s="1"/>
  <c r="I47" i="40"/>
  <c r="J47" i="40" s="1"/>
  <c r="H119" i="87" l="1"/>
  <c r="H101" i="87"/>
  <c r="H107" i="87" s="1"/>
  <c r="C104" i="87"/>
  <c r="H119" i="86"/>
  <c r="H101" i="86"/>
  <c r="H107" i="86" s="1"/>
  <c r="C104" i="86"/>
  <c r="H119" i="85"/>
  <c r="H101" i="85"/>
  <c r="H107" i="85" s="1"/>
  <c r="C104" i="85"/>
  <c r="H119" i="84"/>
  <c r="H101" i="84"/>
  <c r="H107" i="84" s="1"/>
  <c r="C104" i="84"/>
  <c r="H119" i="83"/>
  <c r="H101" i="83"/>
  <c r="H107" i="83" s="1"/>
  <c r="C104" i="83"/>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22" i="87" l="1"/>
  <c r="D123" i="87" s="1"/>
  <c r="H108" i="87"/>
  <c r="H108" i="86"/>
  <c r="D122" i="86"/>
  <c r="D123" i="86" s="1"/>
  <c r="D122" i="85"/>
  <c r="D123" i="85" s="1"/>
  <c r="H108" i="85"/>
  <c r="D122" i="84"/>
  <c r="D123" i="84" s="1"/>
  <c r="H108" i="84"/>
  <c r="D122" i="83"/>
  <c r="D123" i="83" s="1"/>
  <c r="H108" i="83"/>
  <c r="D7" i="71"/>
  <c r="C6" i="71"/>
  <c r="G118" i="9"/>
  <c r="G4" i="52" s="1"/>
  <c r="B52" i="72" s="1"/>
  <c r="I118" i="9"/>
  <c r="I4" i="52" s="1"/>
  <c r="D6" i="71" l="1"/>
  <c r="C5" i="71"/>
  <c r="D5" i="71" s="1"/>
  <c r="M24" i="43" s="1"/>
  <c r="C105" i="9"/>
  <c r="H102" i="9"/>
  <c r="R24" i="31" s="1"/>
  <c r="S24" i="31" s="1"/>
  <c r="H118" i="9"/>
  <c r="E118" i="9"/>
  <c r="F118" i="9"/>
  <c r="D45" i="83" l="1"/>
  <c r="D55" i="83" s="1"/>
  <c r="M48" i="83"/>
  <c r="M49" i="83"/>
  <c r="R25" i="31"/>
  <c r="S25" i="31" s="1"/>
  <c r="R27" i="31"/>
  <c r="S27" i="31" s="1"/>
  <c r="R26" i="31"/>
  <c r="S26" i="31" s="1"/>
  <c r="R28" i="31"/>
  <c r="S28" i="31" s="1"/>
  <c r="D45" i="87" s="1"/>
  <c r="D55" i="87" s="1"/>
  <c r="H4" i="52"/>
  <c r="C104" i="9"/>
  <c r="H119" i="9"/>
  <c r="H5" i="52" s="1"/>
  <c r="H101" i="9"/>
  <c r="D7" i="53"/>
  <c r="B21" i="72" s="1"/>
  <c r="E4" i="52"/>
  <c r="B48" i="72" s="1"/>
  <c r="D118" i="9"/>
  <c r="F4" i="52"/>
  <c r="B51" i="72" s="1"/>
  <c r="F119" i="9"/>
  <c r="F5" i="52" s="1"/>
  <c r="B53" i="72" s="1"/>
  <c r="D52" i="83" l="1"/>
  <c r="D45" i="86"/>
  <c r="D55" i="86" s="1"/>
  <c r="D45" i="85"/>
  <c r="D55" i="85" s="1"/>
  <c r="D45" i="84"/>
  <c r="S22" i="31"/>
  <c r="D5" i="53"/>
  <c r="H107" i="9"/>
  <c r="D119" i="9"/>
  <c r="D5" i="52" s="1"/>
  <c r="B49" i="72" s="1"/>
  <c r="D4" i="52"/>
  <c r="B47" i="72" s="1"/>
  <c r="D53" i="84" l="1"/>
  <c r="D55" i="84"/>
  <c r="M49" i="84"/>
  <c r="L68" i="84" s="1"/>
  <c r="M68" i="84" s="1"/>
  <c r="C64" i="87"/>
  <c r="C63" i="87" s="1"/>
  <c r="C67" i="87" s="1"/>
  <c r="C68" i="87" s="1"/>
  <c r="D54" i="87" s="1"/>
  <c r="D48" i="87" s="1"/>
  <c r="M52" i="87" s="1"/>
  <c r="D53" i="87"/>
  <c r="M48" i="87"/>
  <c r="D52" i="87"/>
  <c r="C93" i="87"/>
  <c r="C86" i="87" s="1"/>
  <c r="C85" i="87"/>
  <c r="C78" i="87"/>
  <c r="C73" i="87" s="1"/>
  <c r="M53" i="87"/>
  <c r="M49" i="87"/>
  <c r="C72" i="87"/>
  <c r="C64" i="84"/>
  <c r="C63" i="84" s="1"/>
  <c r="C67" i="84" s="1"/>
  <c r="C68" i="84" s="1"/>
  <c r="D54" i="84" s="1"/>
  <c r="D48" i="84" s="1"/>
  <c r="M52" i="84" s="1"/>
  <c r="C93" i="84"/>
  <c r="C86" i="84" s="1"/>
  <c r="C95" i="84" s="1"/>
  <c r="C96" i="84" s="1"/>
  <c r="E96" i="84" s="1"/>
  <c r="E97" i="84" s="1"/>
  <c r="C78" i="84"/>
  <c r="C73" i="84" s="1"/>
  <c r="C85" i="84"/>
  <c r="D52" i="84"/>
  <c r="M48" i="84"/>
  <c r="C64" i="86"/>
  <c r="C63" i="86" s="1"/>
  <c r="C67" i="86" s="1"/>
  <c r="C68" i="86" s="1"/>
  <c r="D54" i="86" s="1"/>
  <c r="D48" i="86" s="1"/>
  <c r="M52" i="86" s="1"/>
  <c r="D53" i="86"/>
  <c r="M48" i="86"/>
  <c r="C85" i="86"/>
  <c r="D52" i="86"/>
  <c r="C93" i="86"/>
  <c r="C86" i="86" s="1"/>
  <c r="C72" i="86"/>
  <c r="C78" i="86"/>
  <c r="C73" i="86" s="1"/>
  <c r="M53" i="86"/>
  <c r="M49" i="86"/>
  <c r="C72" i="84"/>
  <c r="M53" i="84"/>
  <c r="C64" i="85"/>
  <c r="C63" i="85" s="1"/>
  <c r="C67" i="85" s="1"/>
  <c r="C68" i="85" s="1"/>
  <c r="D54" i="85" s="1"/>
  <c r="D48" i="85" s="1"/>
  <c r="M52" i="85" s="1"/>
  <c r="D53" i="85"/>
  <c r="M48" i="85"/>
  <c r="D52" i="85"/>
  <c r="C93" i="85"/>
  <c r="C86" i="85" s="1"/>
  <c r="C85" i="85"/>
  <c r="C72" i="85"/>
  <c r="C78" i="85"/>
  <c r="C73" i="85" s="1"/>
  <c r="M53" i="85"/>
  <c r="M49" i="85"/>
  <c r="L65" i="84"/>
  <c r="M65" i="84" s="1"/>
  <c r="L63" i="84"/>
  <c r="M63" i="84" s="1"/>
  <c r="M49" i="9"/>
  <c r="D45" i="9"/>
  <c r="D53" i="9" s="1"/>
  <c r="M48" i="9"/>
  <c r="R22" i="31"/>
  <c r="D14" i="74"/>
  <c r="G14" i="74" s="1"/>
  <c r="B20" i="31"/>
  <c r="B21" i="31" s="1"/>
  <c r="D122" i="9"/>
  <c r="D13" i="53"/>
  <c r="H108" i="9"/>
  <c r="D6" i="53"/>
  <c r="B22" i="72" s="1"/>
  <c r="B20" i="72"/>
  <c r="L64" i="84" l="1"/>
  <c r="M64" i="84" s="1"/>
  <c r="L67" i="84"/>
  <c r="M67" i="84" s="1"/>
  <c r="L66" i="84"/>
  <c r="M66" i="84" s="1"/>
  <c r="C79" i="87"/>
  <c r="C80" i="87" s="1"/>
  <c r="E80" i="87" s="1"/>
  <c r="E81" i="87" s="1"/>
  <c r="C79" i="84"/>
  <c r="C81" i="84" s="1"/>
  <c r="D58" i="84" s="1"/>
  <c r="D56" i="84" s="1"/>
  <c r="M54" i="84" s="1"/>
  <c r="N57" i="84" s="1"/>
  <c r="C95" i="87"/>
  <c r="L65" i="87"/>
  <c r="M65" i="87" s="1"/>
  <c r="L67" i="87"/>
  <c r="M67" i="87" s="1"/>
  <c r="L64" i="87"/>
  <c r="M64" i="87" s="1"/>
  <c r="L66" i="87"/>
  <c r="M66" i="87" s="1"/>
  <c r="L63" i="87"/>
  <c r="M63" i="87" s="1"/>
  <c r="L68" i="87"/>
  <c r="M68" i="87" s="1"/>
  <c r="C79" i="86"/>
  <c r="C80" i="86" s="1"/>
  <c r="E80" i="86" s="1"/>
  <c r="E81" i="86" s="1"/>
  <c r="L65" i="86"/>
  <c r="M65" i="86" s="1"/>
  <c r="L68" i="86"/>
  <c r="M68" i="86" s="1"/>
  <c r="L67" i="86"/>
  <c r="M67" i="86" s="1"/>
  <c r="L66" i="86"/>
  <c r="M66" i="86" s="1"/>
  <c r="L63" i="86"/>
  <c r="M63" i="86" s="1"/>
  <c r="L64" i="86"/>
  <c r="M64" i="86" s="1"/>
  <c r="C95" i="86"/>
  <c r="C79" i="85"/>
  <c r="L64" i="85"/>
  <c r="M64" i="85" s="1"/>
  <c r="L65" i="85"/>
  <c r="M65" i="85" s="1"/>
  <c r="L68" i="85"/>
  <c r="M68" i="85" s="1"/>
  <c r="L66" i="85"/>
  <c r="M66" i="85" s="1"/>
  <c r="L63" i="85"/>
  <c r="M63" i="85" s="1"/>
  <c r="L67" i="85"/>
  <c r="M67" i="85" s="1"/>
  <c r="C95" i="85"/>
  <c r="D52" i="9"/>
  <c r="D55" i="9"/>
  <c r="M53" i="9" s="1"/>
  <c r="C80" i="84"/>
  <c r="E80" i="84" s="1"/>
  <c r="E81" i="84" s="1"/>
  <c r="M69" i="84"/>
  <c r="N69" i="84" s="1"/>
  <c r="C97" i="84"/>
  <c r="C64" i="9"/>
  <c r="C63" i="9" s="1"/>
  <c r="C67" i="9" s="1"/>
  <c r="C78" i="9"/>
  <c r="C73" i="9" s="1"/>
  <c r="C85" i="9"/>
  <c r="C72" i="9"/>
  <c r="C93" i="9"/>
  <c r="C86" i="9" s="1"/>
  <c r="L68" i="83"/>
  <c r="M68" i="83" s="1"/>
  <c r="L65" i="83"/>
  <c r="M65" i="83" s="1"/>
  <c r="L67" i="83"/>
  <c r="M67" i="83" s="1"/>
  <c r="L64" i="83"/>
  <c r="M64" i="83" s="1"/>
  <c r="L66" i="83"/>
  <c r="M66" i="83" s="1"/>
  <c r="L63" i="83"/>
  <c r="M63" i="83" s="1"/>
  <c r="C64" i="83"/>
  <c r="C63" i="83" s="1"/>
  <c r="C67" i="83" s="1"/>
  <c r="C68" i="83" s="1"/>
  <c r="D53" i="83"/>
  <c r="C93" i="83"/>
  <c r="C86" i="83" s="1"/>
  <c r="C85" i="83"/>
  <c r="C72" i="83"/>
  <c r="C78" i="83"/>
  <c r="C73" i="83" s="1"/>
  <c r="M53" i="83"/>
  <c r="E14" i="74"/>
  <c r="B5" i="74"/>
  <c r="F14" i="74"/>
  <c r="L63" i="9"/>
  <c r="M63" i="9" s="1"/>
  <c r="L68" i="9"/>
  <c r="M68" i="9" s="1"/>
  <c r="L67" i="9"/>
  <c r="M67" i="9" s="1"/>
  <c r="L65" i="9"/>
  <c r="M65" i="9" s="1"/>
  <c r="L64" i="9"/>
  <c r="M64" i="9" s="1"/>
  <c r="L66" i="9"/>
  <c r="M66" i="9" s="1"/>
  <c r="D15" i="53"/>
  <c r="B31" i="72" s="1"/>
  <c r="C68" i="9"/>
  <c r="D54" i="9" s="1"/>
  <c r="D48" i="9" s="1"/>
  <c r="M52" i="9" s="1"/>
  <c r="D59" i="9"/>
  <c r="M55" i="9" s="1"/>
  <c r="B30" i="72"/>
  <c r="D14" i="53"/>
  <c r="B32" i="72" s="1"/>
  <c r="D123" i="9"/>
  <c r="D9" i="52" s="1"/>
  <c r="D8" i="52"/>
  <c r="C81" i="87" l="1"/>
  <c r="D58" i="87" s="1"/>
  <c r="D56" i="87" s="1"/>
  <c r="M54" i="87" s="1"/>
  <c r="N57" i="87" s="1"/>
  <c r="N58" i="87" s="1"/>
  <c r="C81" i="86"/>
  <c r="D58" i="86" s="1"/>
  <c r="D56" i="86" s="1"/>
  <c r="M54" i="86" s="1"/>
  <c r="N57" i="86" s="1"/>
  <c r="N59" i="86" s="1"/>
  <c r="H111" i="86" s="1"/>
  <c r="D126" i="86" s="1"/>
  <c r="D127" i="86" s="1"/>
  <c r="C96" i="87"/>
  <c r="E96" i="87" s="1"/>
  <c r="E97" i="87" s="1"/>
  <c r="M69" i="87"/>
  <c r="N69" i="87" s="1"/>
  <c r="C96" i="86"/>
  <c r="E96" i="86" s="1"/>
  <c r="E97" i="86" s="1"/>
  <c r="N58" i="86"/>
  <c r="M69" i="86"/>
  <c r="N69" i="86" s="1"/>
  <c r="M69" i="85"/>
  <c r="N69" i="85" s="1"/>
  <c r="C96" i="85"/>
  <c r="E96" i="85" s="1"/>
  <c r="E97" i="85" s="1"/>
  <c r="C81" i="85"/>
  <c r="D58" i="85" s="1"/>
  <c r="D56" i="85" s="1"/>
  <c r="M54" i="85" s="1"/>
  <c r="N57" i="85" s="1"/>
  <c r="C80" i="85"/>
  <c r="E80" i="85" s="1"/>
  <c r="E81" i="85" s="1"/>
  <c r="C79" i="9"/>
  <c r="C80" i="9" s="1"/>
  <c r="E80" i="9" s="1"/>
  <c r="E81" i="9" s="1"/>
  <c r="N58" i="84"/>
  <c r="P57" i="84"/>
  <c r="N59" i="84"/>
  <c r="D54" i="83"/>
  <c r="D48" i="83" s="1"/>
  <c r="M52" i="83" s="1"/>
  <c r="C95" i="83"/>
  <c r="C96" i="83" s="1"/>
  <c r="E96" i="83" s="1"/>
  <c r="E97" i="83" s="1"/>
  <c r="C95" i="9"/>
  <c r="C96" i="9" s="1"/>
  <c r="E96" i="9" s="1"/>
  <c r="E97" i="9" s="1"/>
  <c r="M69" i="83"/>
  <c r="N69" i="83" s="1"/>
  <c r="C79" i="83"/>
  <c r="D5" i="74"/>
  <c r="C5" i="74"/>
  <c r="M69" i="9"/>
  <c r="N69" i="9" s="1"/>
  <c r="P57" i="86" l="1"/>
  <c r="H23" i="86"/>
  <c r="N59" i="87"/>
  <c r="H23" i="87" s="1"/>
  <c r="P57" i="87"/>
  <c r="N60" i="86"/>
  <c r="N61" i="86"/>
  <c r="C97" i="86"/>
  <c r="C97" i="87"/>
  <c r="N61" i="87"/>
  <c r="N60" i="87"/>
  <c r="H111" i="87"/>
  <c r="D126" i="87" s="1"/>
  <c r="D127" i="87" s="1"/>
  <c r="H24" i="86"/>
  <c r="H112" i="86"/>
  <c r="N58" i="85"/>
  <c r="P57" i="85"/>
  <c r="N59" i="85"/>
  <c r="C97" i="85"/>
  <c r="N61" i="84"/>
  <c r="H23" i="84"/>
  <c r="N60" i="84"/>
  <c r="H111" i="84"/>
  <c r="D126" i="84" s="1"/>
  <c r="D127" i="84" s="1"/>
  <c r="C97" i="9"/>
  <c r="C97" i="83"/>
  <c r="C80" i="83"/>
  <c r="E80" i="83" s="1"/>
  <c r="E81" i="83" s="1"/>
  <c r="C81" i="83"/>
  <c r="D58" i="83" s="1"/>
  <c r="D56" i="83" s="1"/>
  <c r="M54" i="83" s="1"/>
  <c r="N57" i="83" s="1"/>
  <c r="C81" i="9"/>
  <c r="D58" i="9" s="1"/>
  <c r="D56" i="9" s="1"/>
  <c r="M54" i="9" s="1"/>
  <c r="N57" i="9" s="1"/>
  <c r="H24" i="87" l="1"/>
  <c r="H112" i="87"/>
  <c r="N61" i="85"/>
  <c r="H23" i="85"/>
  <c r="N60" i="85"/>
  <c r="H111" i="85"/>
  <c r="D126" i="85" s="1"/>
  <c r="D127" i="85" s="1"/>
  <c r="H24" i="84"/>
  <c r="H112" i="84"/>
  <c r="N58" i="83"/>
  <c r="P57" i="83"/>
  <c r="N59" i="83"/>
  <c r="N59" i="9"/>
  <c r="N60" i="9" s="1"/>
  <c r="P57" i="9"/>
  <c r="N58" i="9"/>
  <c r="H24" i="85" l="1"/>
  <c r="H112" i="85"/>
  <c r="H111" i="9"/>
  <c r="D19" i="53" s="1"/>
  <c r="N61" i="83"/>
  <c r="H23" i="83"/>
  <c r="N60" i="83"/>
  <c r="H111" i="83"/>
  <c r="D126" i="83" s="1"/>
  <c r="D127" i="83" s="1"/>
  <c r="H23" i="9"/>
  <c r="U21" i="31"/>
  <c r="N61" i="9"/>
  <c r="I14" i="74"/>
  <c r="B8" i="74" s="1"/>
  <c r="D8" i="74" s="1"/>
  <c r="B6" i="74"/>
  <c r="D126" i="9" l="1"/>
  <c r="H24" i="83"/>
  <c r="H112" i="83"/>
  <c r="U22" i="31"/>
  <c r="H24" i="9"/>
  <c r="H112" i="9"/>
  <c r="D21" i="53" s="1"/>
  <c r="B39" i="72" s="1"/>
  <c r="D6" i="74"/>
  <c r="C6" i="74"/>
  <c r="D127" i="9"/>
  <c r="D13" i="52" s="1"/>
  <c r="D12" i="52"/>
  <c r="B38" i="72"/>
  <c r="D20" i="53"/>
  <c r="B40" i="72" s="1"/>
  <c r="C8" i="74" l="1"/>
  <c r="C2" i="88"/>
  <c r="B2" i="88" l="1"/>
  <c r="C6" i="88"/>
  <c r="B6" i="8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2838B6E-CD09-4500-93DF-CE6558A392A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198622AC-0CE2-4CB5-A0DB-66442D516AF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6A50F203-4A31-4099-99C9-CF784A0BE11F}">
      <text>
        <r>
          <rPr>
            <sz val="11"/>
            <color indexed="81"/>
            <rFont val="宋体"/>
            <family val="3"/>
            <charset val="134"/>
          </rPr>
          <t>需在下方列示计算过程</t>
        </r>
        <r>
          <rPr>
            <sz val="9"/>
            <color indexed="81"/>
            <rFont val="宋体"/>
            <family val="3"/>
            <charset val="134"/>
          </rPr>
          <t xml:space="preserve">
</t>
        </r>
      </text>
    </comment>
    <comment ref="H75" authorId="2" shapeId="0" xr:uid="{19D4A274-3A33-471C-A756-B0406072E474}">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DBAAD6B-F0E8-4348-9371-F436100F3249}">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9CFE0344-0B87-417A-B582-1C3684AF844A}">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F1AD20E-3CAF-4354-B9ED-FF3BF1EA2366}">
      <text>
        <r>
          <rPr>
            <sz val="11"/>
            <color indexed="81"/>
            <rFont val="宋体"/>
            <family val="3"/>
            <charset val="134"/>
          </rPr>
          <t>需在下方列示计算过程</t>
        </r>
        <r>
          <rPr>
            <sz val="9"/>
            <color indexed="81"/>
            <rFont val="宋体"/>
            <family val="3"/>
            <charset val="134"/>
          </rPr>
          <t xml:space="preserve">
</t>
        </r>
      </text>
    </comment>
    <comment ref="H75" authorId="2" shapeId="0" xr:uid="{A4F58029-D83E-494F-9925-E29188F27D4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858B7551-4067-433D-A0CD-3168093C2F8A}">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1E2AE545-47C1-46D7-B977-C757371FA93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A8DF0AC-B378-4E68-8B8C-B1D5BECE4B5F}">
      <text>
        <r>
          <rPr>
            <sz val="11"/>
            <color indexed="81"/>
            <rFont val="宋体"/>
            <family val="3"/>
            <charset val="134"/>
          </rPr>
          <t>需在下方列示计算过程</t>
        </r>
        <r>
          <rPr>
            <sz val="9"/>
            <color indexed="81"/>
            <rFont val="宋体"/>
            <family val="3"/>
            <charset val="134"/>
          </rPr>
          <t xml:space="preserve">
</t>
        </r>
      </text>
    </comment>
    <comment ref="H75" authorId="2" shapeId="0" xr:uid="{AFFAA99F-989F-4E63-8876-0A54855970D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746FD7C-EE73-4EA1-9AFD-BDC6C6F9CD5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9D25DD7-ED52-49AD-8CDB-F1E07C2966D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74505B8-42B4-4735-B516-8343CE0EC716}">
      <text>
        <r>
          <rPr>
            <sz val="11"/>
            <color indexed="81"/>
            <rFont val="宋体"/>
            <family val="3"/>
            <charset val="134"/>
          </rPr>
          <t>需在下方列示计算过程</t>
        </r>
        <r>
          <rPr>
            <sz val="9"/>
            <color indexed="81"/>
            <rFont val="宋体"/>
            <family val="3"/>
            <charset val="134"/>
          </rPr>
          <t xml:space="preserve">
</t>
        </r>
      </text>
    </comment>
    <comment ref="H75" authorId="2" shapeId="0" xr:uid="{1F1D06FB-6217-4C1D-927E-047719AFC1E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20DFBC5-1BC8-4739-B969-2FCF2AB9C2B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3BD3770-6057-4DEC-959F-6D74E492809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2D797C9-BED1-42B7-9B1F-7FCBBC1DDE70}">
      <text>
        <r>
          <rPr>
            <sz val="11"/>
            <color indexed="81"/>
            <rFont val="宋体"/>
            <family val="3"/>
            <charset val="134"/>
          </rPr>
          <t>需在下方列示计算过程</t>
        </r>
        <r>
          <rPr>
            <sz val="9"/>
            <color indexed="81"/>
            <rFont val="宋体"/>
            <family val="3"/>
            <charset val="134"/>
          </rPr>
          <t xml:space="preserve">
</t>
        </r>
      </text>
    </comment>
    <comment ref="H75" authorId="2" shapeId="0" xr:uid="{7CAAEE38-343A-4D85-9DB2-364CCD6D620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<sst xmlns="http://schemas.openxmlformats.org/spreadsheetml/2006/main" count="9979" uniqueCount="3545">
  <si>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</si>
  <si>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</si>
  <si>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</si>
  <si>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</si>
  <si>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</si>
  <si>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</si>
  <si>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</si>
  <si>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</si>
  <si>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</si>
  <si>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</si>
  <si>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</si>
  <si>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</si>
  <si>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</si>
  <si>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</si>
  <si>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</si>
  <si>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</si>
  <si>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</si>
  <si>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</si>
  <si>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</si>
  <si>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</si>
  <si>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</si>
  <si>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</si>
  <si>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</si>
  <si>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</si>
  <si>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</si>
  <si>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</si>
  <si>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</si>
  <si>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</si>
  <si>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</si>
  <si>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</si>
  <si>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</si>
  <si>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</si>
  <si>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</si>
  <si>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</si>
  <si>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</si>
  <si>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</si>
  <si>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</si>
  <si>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</si>
  <si>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</si>
  <si>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</si>
  <si>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</si>
  <si>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</si>
  <si>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</si>
  <si>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</si>
  <si>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</si>
  <si>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</si>
  <si>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</si>
  <si>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</si>
  <si>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</si>
  <si>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</si>
  <si>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</si>
  <si>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</si>
  <si>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</si>
  <si>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</si>
  <si>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</si>
  <si>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</si>
  <si>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</si>
  <si>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</si>
  <si>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</si>
  <si>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</si>
  <si>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</si>
  <si>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</si>
  <si>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</si>
  <si>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</si>
  <si>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</si>
  <si>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</si>
  <si>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</si>
  <si>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</si>
  <si>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</si>
  <si>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</si>
  <si>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</si>
  <si>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</si>
  <si>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</si>
  <si>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</si>
  <si>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</si>
  <si>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</si>
  <si>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</si>
  <si>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</si>
  <si>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</si>
  <si>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</si>
  <si>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</si>
  <si>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</si>
  <si>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</si>
  <si>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</si>
  <si>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</si>
  <si>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</si>
  <si>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</si>
  <si>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</si>
  <si>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</si>
  <si>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</si>
  <si>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</si>
  <si>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</si>
  <si>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</si>
  <si>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</si>
  <si>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</si>
  <si>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</si>
  <si>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</si>
  <si>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</si>
  <si>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</si>
  <si>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</si>
  <si>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</si>
  <si>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</si>
  <si>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</si>
  <si>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</si>
  <si>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</si>
  <si>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</si>
  <si>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</si>
  <si>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</si>
  <si>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</si>
  <si>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</si>
  <si>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</si>
  <si>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</si>
  <si>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</si>
  <si>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</si>
  <si>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</si>
  <si>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</si>
  <si>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</si>
  <si>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</si>
  <si>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</si>
  <si>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</si>
  <si>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</si>
  <si>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</si>
  <si>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</si>
  <si>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</si>
  <si>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</si>
  <si>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</si>
  <si>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</si>
  <si>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</si>
  <si>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</si>
  <si>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</si>
  <si>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</si>
  <si>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</si>
  <si>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</si>
  <si>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</si>
  <si>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</si>
  <si>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</si>
  <si>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</si>
  <si>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</si>
  <si>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</si>
  <si>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</si>
  <si>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</si>
  <si>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</si>
  <si>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</si>
  <si>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</si>
  <si>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</si>
  <si>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</si>
  <si>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</si>
  <si>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</si>
  <si>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</si>
  <si>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</si>
  <si>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</si>
  <si>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</si>
  <si>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</si>
  <si>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</si>
  <si>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</si>
  <si>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</si>
  <si>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</si>
  <si>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</si>
  <si>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</si>
  <si>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</si>
  <si>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</si>
  <si>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</si>
  <si>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</si>
  <si>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</si>
  <si>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</si>
  <si>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</si>
  <si>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</si>
  <si>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</si>
  <si>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</si>
  <si>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</si>
  <si>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</si>
  <si>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</si>
  <si>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</si>
  <si>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</si>
  <si>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</si>
  <si>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</si>
  <si>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</si>
  <si>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</si>
  <si>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</si>
  <si>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</si>
  <si>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</si>
  <si>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</si>
  <si>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</si>
  <si>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</si>
  <si>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</si>
  <si>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</si>
  <si>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</si>
  <si>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</si>
  <si>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</si>
  <si>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</si>
  <si>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</si>
  <si>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</si>
  <si>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</si>
  <si>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</si>
  <si>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</si>
  <si>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</si>
  <si>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</si>
  <si>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</si>
  <si>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</si>
  <si>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</si>
  <si>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</si>
  <si>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</si>
  <si>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</si>
  <si>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</si>
  <si>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</si>
  <si>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</si>
  <si>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</si>
  <si>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</si>
  <si>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</si>
  <si>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</si>
  <si>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</si>
  <si>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</si>
  <si>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</si>
  <si>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</si>
  <si>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</si>
  <si>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</si>
  <si>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</si>
  <si>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</si>
  <si>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</si>
  <si>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</si>
  <si>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</si>
  <si>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</si>
  <si>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</si>
  <si>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</si>
  <si>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</si>
  <si>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</si>
  <si>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</si>
  <si>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</si>
  <si>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</si>
  <si>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</si>
  <si>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</si>
  <si>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</si>
  <si>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</si>
  <si>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</si>
  <si>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</si>
  <si>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</si>
  <si>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</si>
  <si>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</si>
  <si>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</si>
  <si>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</si>
  <si>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</si>
  <si>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</si>
  <si>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</si>
  <si>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</si>
  <si>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</si>
  <si>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</si>
  <si>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</si>
  <si>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</si>
  <si>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</si>
  <si>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</si>
  <si>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</si>
  <si>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</si>
  <si>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</si>
  <si>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</si>
  <si>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</si>
  <si>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</si>
  <si>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</si>
  <si>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</si>
  <si>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</si>
  <si>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</si>
  <si>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</si>
  <si>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</si>
  <si>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</si>
  <si>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</si>
  <si>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</si>
  <si>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</si>
  <si>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</si>
  <si>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</si>
  <si>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</si>
  <si>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</si>
  <si>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</si>
  <si>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</si>
  <si>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</si>
  <si>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</si>
  <si>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</si>
  <si>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</si>
  <si>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</si>
  <si>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</si>
  <si>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</si>
  <si>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</si>
  <si>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</si>
  <si>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</si>
  <si>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</si>
  <si>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</si>
  <si>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</si>
  <si>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</si>
  <si>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</si>
  <si>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</si>
  <si>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</si>
  <si>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</si>
  <si>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</si>
  <si>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</si>
  <si>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</si>
  <si>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</si>
  <si>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</si>
  <si>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</si>
  <si>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</si>
  <si>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</si>
  <si>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</si>
  <si>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</si>
  <si>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</si>
  <si>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</si>
  <si>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</si>
  <si>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</si>
  <si>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</si>
  <si>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</si>
  <si>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</si>
  <si>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</si>
  <si>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</si>
  <si>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</si>
  <si>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</si>
  <si>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</si>
  <si>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</si>
  <si>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</si>
  <si>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</si>
  <si>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</si>
  <si>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</si>
  <si>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</si>
  <si>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</si>
  <si>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</si>
  <si>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</si>
  <si>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</si>
  <si>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</si>
  <si>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</si>
  <si>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</si>
  <si>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</si>
  <si>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</si>
  <si>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</si>
  <si>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</si>
  <si>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</si>
  <si>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</si>
  <si>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</si>
  <si>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</si>
  <si>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</si>
  <si>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</si>
  <si>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</si>
  <si>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</si>
  <si>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</si>
  <si>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</si>
  <si>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</si>
  <si>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</si>
  <si>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</si>
  <si>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</si>
  <si>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</si>
  <si>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</si>
  <si>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</si>
  <si>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</si>
  <si>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</si>
  <si>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</si>
  <si>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</si>
  <si>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</si>
  <si>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</si>
  <si>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</si>
  <si>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</si>
  <si>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</si>
  <si>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</si>
  <si>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</si>
  <si>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</si>
  <si>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</si>
  <si>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</si>
  <si>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</si>
  <si>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</si>
  <si>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</si>
  <si>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</si>
  <si>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</si>
  <si>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</si>
  <si>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</si>
  <si>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</si>
  <si>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</si>
  <si>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</si>
  <si>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</si>
  <si>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</si>
  <si>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</si>
  <si>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</si>
  <si>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</si>
  <si>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</si>
  <si>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</si>
  <si>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</si>
  <si>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</si>
  <si>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</si>
  <si>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</si>
  <si>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</si>
  <si>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</si>
  <si>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</si>
  <si>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</si>
  <si>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</si>
  <si>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</si>
  <si>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</si>
  <si>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</si>
  <si>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</si>
  <si>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</si>
  <si>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</si>
  <si>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</si>
  <si>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</si>
  <si>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</si>
  <si>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</si>
  <si>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</si>
  <si>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</si>
  <si>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</si>
  <si>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</si>
  <si>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</si>
  <si>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</si>
  <si>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</si>
  <si>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</si>
  <si>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</si>
  <si>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</si>
  <si>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</si>
  <si>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</si>
  <si>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</si>
  <si>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</si>
  <si>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</si>
  <si>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</si>
  <si>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</si>
  <si>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</si>
  <si>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</si>
  <si>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</si>
  <si>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</si>
  <si>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</si>
  <si>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</si>
  <si>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</si>
  <si>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</si>
  <si>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</si>
  <si>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</si>
  <si>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</si>
  <si>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</si>
  <si>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</si>
  <si>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</si>
  <si>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</si>
  <si>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</si>
  <si>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</si>
  <si>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</si>
  <si>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</si>
  <si>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</si>
  <si>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</si>
  <si>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</si>
  <si>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</si>
  <si>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</si>
  <si>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</si>
  <si>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</si>
  <si>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</si>
  <si>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</si>
  <si>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</si>
  <si>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</si>
  <si>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</si>
  <si>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</si>
  <si>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</si>
  <si>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</si>
  <si>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</si>
  <si>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</si>
  <si>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</si>
  <si>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</si>
  <si>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</si>
  <si>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</si>
  <si>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</si>
  <si>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</si>
  <si>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</si>
  <si>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</si>
  <si>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</si>
  <si>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</si>
  <si>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</si>
  <si>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</si>
  <si>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</si>
  <si>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</si>
  <si>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</si>
  <si>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</si>
  <si>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</si>
  <si>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</si>
  <si>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</si>
  <si>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</si>
  <si>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</si>
  <si>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</si>
  <si>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</si>
  <si>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</si>
  <si>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</si>
  <si>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</si>
  <si>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</si>
  <si>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</si>
  <si>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</si>
  <si>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</si>
  <si>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</si>
  <si>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</si>
  <si>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</si>
  <si>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</si>
  <si>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</si>
  <si>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</si>
  <si>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</si>
  <si>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</si>
  <si>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</si>
  <si>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</si>
  <si>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</si>
  <si>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</si>
  <si>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</si>
  <si>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</si>
  <si>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</si>
  <si>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</si>
  <si>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</si>
  <si>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</si>
  <si>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</si>
  <si>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</si>
  <si>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</si>
  <si>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</si>
  <si>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</si>
  <si>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</si>
  <si>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</si>
  <si>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</si>
  <si>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</si>
  <si>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</si>
  <si>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</si>
  <si>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</si>
  <si>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</si>
  <si>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</si>
  <si>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</si>
  <si>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</si>
  <si>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</si>
  <si>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</si>
  <si>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</si>
  <si>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</si>
  <si>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</si>
  <si>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</si>
  <si>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</si>
  <si>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</si>
  <si>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</si>
  <si>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</si>
  <si>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</si>
  <si>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</si>
  <si>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</si>
  <si>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</si>
  <si>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</si>
  <si>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</si>
  <si>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</si>
  <si>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</si>
  <si>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</si>
  <si>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</si>
  <si>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</si>
  <si>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</si>
  <si>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</si>
  <si>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</si>
  <si>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</si>
  <si>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</si>
  <si>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</si>
  <si>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</si>
  <si>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</si>
  <si>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</si>
  <si>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</si>
  <si>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</si>
  <si>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</si>
  <si>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</si>
  <si>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</si>
  <si>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</si>
  <si>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</si>
  <si>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</si>
  <si>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</si>
  <si>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</si>
  <si>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</si>
  <si>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</si>
  <si>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</si>
  <si>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</si>
  <si>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</si>
  <si>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</si>
  <si>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</si>
  <si>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</si>
  <si>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</si>
  <si>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</si>
  <si>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</si>
  <si>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</si>
  <si>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</si>
  <si>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</si>
  <si>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</si>
  <si>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</si>
  <si>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</si>
  <si>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</si>
  <si>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</si>
  <si>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</si>
  <si>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</si>
  <si>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</si>
  <si>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</si>
  <si>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</si>
  <si>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</si>
  <si>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</si>
  <si>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</si>
  <si>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</si>
  <si>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</si>
  <si>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</si>
  <si>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</si>
  <si>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</si>
  <si>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</si>
  <si>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</si>
  <si>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</si>
  <si>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</si>
  <si>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</si>
  <si>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</si>
  <si>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</si>
  <si>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</si>
  <si>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</si>
  <si>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</si>
  <si>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</si>
  <si>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</si>
  <si>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</si>
  <si>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</si>
  <si>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</si>
  <si>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</si>
  <si>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</si>
  <si>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</si>
  <si>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</si>
  <si>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</si>
  <si>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</si>
  <si>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</si>
  <si>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</si>
  <si>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</si>
  <si>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</si>
  <si>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</si>
  <si>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</si>
  <si>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</si>
  <si>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</si>
  <si>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</si>
  <si>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</si>
  <si>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</si>
  <si>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</si>
  <si>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</si>
  <si>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</si>
  <si>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</si>
  <si>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</si>
  <si>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</si>
  <si>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</si>
  <si>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</si>
  <si>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</si>
  <si>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</si>
  <si>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</si>
  <si>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</si>
  <si>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</si>
  <si>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</si>
  <si>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</si>
  <si>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</si>
  <si>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</si>
  <si>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</si>
  <si>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</si>
  <si>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</si>
  <si>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</si>
  <si>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</si>
  <si>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</si>
  <si>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</si>
  <si>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</si>
  <si>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</si>
  <si>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</si>
  <si>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</si>
  <si>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</si>
  <si>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</si>
  <si>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</si>
  <si>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</si>
  <si>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</si>
  <si>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</si>
  <si>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</si>
  <si>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</si>
  <si>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</si>
  <si>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</si>
  <si>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</si>
  <si>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</si>
  <si>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</si>
  <si>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</si>
  <si>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</si>
  <si>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</si>
  <si>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</si>
  <si>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</si>
  <si>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</si>
  <si>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</si>
  <si>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</si>
  <si>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</si>
  <si>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</si>
  <si>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</si>
  <si>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</si>
  <si>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</si>
  <si>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</si>
  <si>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</si>
  <si>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</si>
  <si>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</si>
  <si>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</si>
  <si>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</si>
  <si>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</si>
  <si>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</si>
  <si>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</si>
  <si>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</si>
  <si>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</si>
  <si>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</si>
  <si>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</si>
  <si>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</si>
  <si>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</si>
  <si>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</si>
  <si>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</si>
  <si>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</si>
  <si>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</si>
  <si>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</si>
  <si>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</si>
  <si>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</si>
  <si>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</si>
  <si>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</si>
  <si>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</si>
  <si>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</si>
  <si>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</si>
  <si>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</si>
  <si>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</si>
  <si>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</si>
  <si>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</si>
  <si>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</si>
  <si>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</si>
  <si>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</si>
  <si>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</si>
  <si>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</si>
  <si>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</si>
  <si>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</si>
  <si>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</si>
  <si>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</si>
  <si>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</si>
  <si>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</si>
  <si>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</si>
  <si>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</si>
  <si>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</si>
  <si>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</si>
  <si>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</si>
  <si>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</si>
  <si>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</si>
  <si>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</si>
  <si>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</si>
  <si>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</si>
  <si>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</si>
  <si>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</si>
  <si>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</si>
  <si>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</si>
  <si>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</si>
  <si>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</si>
  <si>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</si>
  <si>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</si>
  <si>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</si>
  <si>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</si>
  <si>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</si>
  <si>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</si>
  <si>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</si>
  <si>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</si>
  <si>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</si>
  <si>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</si>
  <si>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</si>
  <si>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</si>
  <si>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</si>
  <si>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</si>
  <si>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</si>
  <si>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</si>
  <si>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</si>
  <si>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</si>
  <si>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</si>
  <si>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</si>
  <si>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</si>
  <si>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</si>
  <si>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</si>
  <si>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</si>
  <si>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</si>
  <si>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</si>
  <si>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</si>
  <si>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</si>
  <si>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</si>
  <si>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</si>
  <si>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</si>
  <si>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</si>
  <si>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</si>
  <si>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</si>
  <si>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</si>
  <si>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</si>
  <si>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</si>
  <si>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</si>
  <si>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</si>
  <si>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</si>
  <si>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</si>
  <si>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</si>
  <si>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</si>
  <si>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</si>
  <si>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</si>
  <si>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</si>
  <si>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</si>
  <si>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</si>
  <si>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</si>
  <si>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</si>
  <si>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</si>
  <si>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</si>
  <si>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</si>
  <si>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</si>
  <si>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</si>
  <si>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</si>
  <si>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</si>
  <si>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</si>
  <si>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</si>
  <si>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</si>
  <si>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</si>
  <si>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</si>
  <si>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</si>
  <si>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</si>
  <si>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</si>
  <si>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</si>
  <si>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</si>
  <si>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</si>
  <si>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</si>
  <si>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</si>
  <si>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</si>
  <si>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</si>
  <si>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</si>
  <si>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</si>
  <si>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</si>
  <si>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</si>
  <si>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</si>
  <si>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</si>
  <si>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</si>
  <si>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</si>
  <si>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</si>
  <si>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</si>
  <si>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</si>
  <si>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</si>
  <si>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</si>
  <si>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</si>
  <si>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</si>
  <si>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</si>
  <si>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</si>
  <si>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</si>
  <si>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</si>
  <si>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</si>
  <si>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</si>
  <si>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</si>
  <si>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</si>
  <si>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</si>
  <si>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</si>
  <si>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</si>
  <si>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</si>
  <si>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</si>
  <si>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</si>
  <si>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</si>
  <si>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</si>
  <si>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</si>
  <si>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</si>
  <si>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</si>
  <si>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</si>
  <si>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</si>
  <si>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</si>
  <si>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</si>
  <si>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</si>
  <si>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</si>
  <si>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</si>
  <si>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</si>
  <si>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</si>
  <si>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</si>
  <si>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</si>
  <si>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</si>
  <si>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</si>
  <si>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</si>
  <si>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</si>
  <si>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</si>
  <si>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</si>
  <si>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</si>
  <si>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</si>
  <si>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</si>
  <si>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</si>
  <si>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</si>
  <si>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</si>
  <si>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</si>
  <si>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</si>
  <si>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</si>
  <si>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</si>
  <si>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</si>
  <si>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</si>
  <si>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</si>
  <si>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</si>
  <si>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</si>
  <si>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</si>
  <si>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</si>
  <si>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</si>
  <si>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</si>
  <si>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</si>
  <si>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</si>
  <si>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</si>
  <si>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</si>
  <si>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</si>
  <si>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</si>
  <si>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</si>
  <si>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</si>
  <si>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</si>
  <si>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</si>
  <si>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</si>
  <si>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</si>
  <si>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</si>
  <si>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</si>
  <si>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</si>
  <si>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</si>
  <si>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</si>
  <si>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</si>
  <si>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</si>
  <si>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</si>
  <si>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</si>
  <si>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</si>
  <si>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</si>
  <si>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</si>
  <si>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</si>
  <si>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</si>
  <si>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</si>
  <si>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</si>
  <si>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</si>
  <si>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</si>
  <si>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</si>
  <si>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</si>
  <si>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</si>
  <si>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</si>
  <si>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</si>
  <si>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</si>
  <si>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</si>
  <si>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</si>
  <si>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</si>
  <si>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</si>
  <si>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</si>
  <si>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</si>
  <si>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</si>
  <si>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</si>
  <si>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</si>
  <si>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</si>
  <si>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</si>
  <si>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</si>
  <si>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</si>
  <si>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</si>
  <si>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</si>
  <si>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</si>
  <si>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</si>
  <si>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</si>
  <si>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</si>
  <si>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</si>
  <si>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</si>
  <si>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</si>
  <si>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</si>
  <si>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</si>
  <si>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</si>
  <si>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</si>
  <si>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</si>
  <si>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</si>
  <si>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</si>
  <si>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</si>
  <si>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</si>
  <si>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</si>
  <si>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</si>
  <si>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</si>
  <si>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</si>
  <si>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</si>
  <si>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</si>
  <si>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</si>
  <si>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</si>
  <si>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</si>
  <si>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</si>
  <si>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</si>
  <si>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</si>
  <si>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</si>
  <si>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</si>
  <si>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</si>
  <si>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</si>
  <si>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</si>
  <si>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</si>
  <si>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</si>
  <si>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</si>
  <si>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</si>
  <si>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</si>
  <si>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</si>
  <si>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</si>
  <si>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</si>
  <si>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</si>
  <si>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</si>
  <si>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</si>
  <si>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</si>
  <si>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</si>
  <si>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</si>
  <si>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</si>
  <si>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</si>
  <si>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</si>
  <si>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</si>
  <si>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</si>
  <si>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</si>
  <si>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</si>
  <si>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</si>
  <si>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</si>
  <si>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</si>
  <si>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</si>
  <si>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</si>
  <si>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</si>
  <si>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</si>
  <si>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</si>
  <si>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</si>
  <si>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</si>
  <si>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</si>
  <si>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</si>
  <si>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</si>
  <si>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</si>
  <si>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</si>
  <si>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</si>
  <si>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</si>
  <si>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</si>
  <si>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</si>
  <si>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</si>
  <si>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</si>
  <si>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</si>
  <si>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</si>
  <si>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</si>
  <si>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</si>
  <si>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</si>
  <si>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</si>
  <si>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</si>
  <si>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</si>
  <si>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</si>
  <si>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</si>
  <si>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</si>
  <si>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</si>
  <si>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</si>
  <si>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</si>
  <si>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</si>
  <si>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</si>
  <si>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</si>
  <si>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</si>
  <si>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</si>
  <si>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</si>
  <si>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</si>
  <si>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</si>
  <si>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</si>
  <si>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</si>
  <si>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</si>
  <si>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</si>
  <si>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</si>
  <si>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</si>
  <si>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</si>
  <si>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</si>
  <si>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</si>
  <si>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</si>
  <si>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</si>
  <si>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</si>
  <si>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</si>
  <si>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</si>
  <si>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</si>
  <si>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</si>
  <si>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</si>
  <si>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</si>
  <si>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</si>
  <si>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</si>
  <si>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</si>
  <si>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</si>
  <si>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</si>
  <si>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</si>
  <si>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</si>
  <si>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</si>
  <si>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</si>
  <si>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</si>
  <si>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</si>
  <si>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</si>
  <si>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</si>
  <si>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</si>
  <si>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</si>
  <si>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</si>
  <si>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</si>
  <si>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</si>
  <si>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</si>
  <si>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</si>
  <si>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</si>
  <si>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</si>
  <si>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</si>
  <si>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</si>
  <si>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</si>
  <si>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</si>
  <si>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</si>
  <si>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</si>
  <si>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</si>
  <si>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</si>
  <si>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</si>
  <si>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</si>
  <si>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</si>
  <si>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</si>
  <si>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</si>
  <si>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</si>
  <si>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</si>
  <si>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</si>
  <si>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</si>
  <si>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</si>
  <si>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</si>
  <si>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</si>
  <si>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</si>
  <si>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</si>
  <si>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</si>
  <si>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</si>
  <si>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</si>
  <si>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</si>
  <si>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</si>
  <si>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</si>
  <si>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</si>
  <si>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</si>
  <si>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</si>
  <si>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</si>
  <si>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</si>
  <si>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</si>
  <si>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</si>
  <si>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</si>
  <si>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</si>
  <si>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</si>
  <si>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</si>
  <si>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</si>
  <si>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</si>
  <si>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</si>
  <si>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</si>
  <si>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</si>
  <si>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</si>
  <si>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</si>
  <si>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</si>
  <si>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</si>
  <si>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</si>
  <si>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</si>
  <si>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</si>
  <si>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</si>
  <si>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</si>
  <si>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</si>
  <si>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</si>
  <si>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</si>
  <si>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</si>
  <si>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</si>
  <si>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</si>
  <si>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</si>
  <si>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</si>
  <si>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</si>
  <si>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</si>
  <si>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</si>
  <si>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</si>
  <si>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</si>
  <si>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</si>
  <si>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</si>
  <si>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</si>
  <si>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</si>
  <si>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</si>
  <si>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</si>
  <si>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</si>
  <si>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</si>
  <si>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</si>
  <si>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</si>
  <si>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</si>
  <si>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</si>
  <si>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</si>
  <si>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</si>
  <si>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</si>
  <si>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</si>
  <si>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</si>
  <si>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</si>
  <si>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</si>
  <si>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</si>
  <si>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</si>
  <si>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</si>
  <si>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</si>
  <si>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</si>
  <si>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</si>
  <si>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</si>
  <si>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</si>
  <si>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</si>
  <si>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</si>
  <si>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</si>
  <si>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</si>
  <si>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</si>
  <si>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</si>
  <si>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</si>
  <si>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</si>
  <si>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</si>
  <si>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</si>
  <si>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</si>
  <si>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</si>
  <si>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</si>
  <si>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</si>
  <si>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</si>
  <si>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</si>
  <si>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</si>
  <si>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</si>
  <si>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</si>
  <si>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</si>
  <si>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</si>
  <si>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</si>
  <si>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</si>
  <si>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</si>
  <si>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</si>
  <si>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</si>
  <si>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</si>
  <si>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</si>
  <si>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</si>
  <si>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</si>
  <si>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</si>
  <si>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</si>
  <si>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</si>
  <si>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</si>
  <si>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</si>
  <si>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</si>
  <si>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</si>
  <si>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</si>
  <si>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</si>
  <si>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</si>
  <si>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</si>
  <si>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</si>
  <si>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</si>
  <si>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</si>
  <si>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</si>
  <si>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</si>
  <si>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</si>
  <si>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</si>
  <si>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</si>
  <si>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</si>
  <si>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</si>
  <si>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</si>
  <si>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</si>
  <si>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</si>
  <si>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</si>
  <si>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</si>
  <si>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</si>
  <si>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</si>
  <si>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</si>
  <si>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</si>
  <si>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</si>
  <si>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</si>
  <si>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</si>
  <si>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</si>
  <si>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</si>
  <si>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</si>
  <si>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</si>
  <si>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</si>
  <si>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</si>
  <si>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</si>
  <si>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</si>
  <si>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</si>
  <si>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</si>
  <si>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</si>
  <si>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</si>
  <si>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</si>
  <si>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</si>
  <si>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</si>
  <si>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</si>
  <si>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</si>
  <si>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</si>
  <si>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</si>
  <si>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</si>
  <si>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</si>
  <si>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</si>
  <si>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</si>
  <si>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</si>
  <si>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</si>
  <si>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</si>
  <si>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</si>
  <si>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</si>
  <si>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</si>
  <si>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</si>
  <si>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</si>
  <si>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</si>
  <si>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</si>
  <si>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</si>
  <si>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</si>
  <si>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</si>
  <si>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</si>
  <si>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</si>
  <si>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</si>
  <si>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</si>
  <si>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</si>
  <si>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</si>
  <si>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</si>
  <si>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</si>
  <si>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</si>
  <si>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</si>
  <si>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</si>
  <si>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</si>
  <si>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</si>
  <si>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</si>
  <si>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</si>
  <si>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</si>
  <si>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</si>
  <si>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</si>
  <si>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</si>
  <si>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</si>
  <si>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</si>
  <si>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</si>
  <si>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</si>
  <si>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</si>
  <si>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</si>
  <si>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</si>
  <si>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</si>
  <si>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</si>
  <si>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</si>
  <si>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</si>
  <si>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</si>
  <si>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</si>
  <si>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</si>
  <si>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</si>
  <si>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</si>
  <si>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</si>
  <si>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</si>
  <si>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</si>
  <si>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</si>
  <si>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</si>
  <si>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</si>
  <si>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</si>
  <si>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</si>
  <si>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</si>
  <si>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</si>
  <si>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</si>
  <si>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</si>
  <si>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</si>
  <si>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</si>
  <si>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</si>
  <si>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</si>
  <si>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</si>
  <si>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</si>
  <si>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</si>
  <si>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</si>
  <si>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</si>
  <si>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</si>
  <si>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</si>
  <si>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</si>
  <si>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</si>
  <si>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</si>
  <si>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</si>
  <si>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</si>
  <si>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</si>
  <si>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</si>
  <si>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</si>
  <si>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</si>
  <si>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</si>
  <si>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</si>
  <si>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</si>
  <si>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</si>
  <si>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</si>
  <si>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</si>
  <si>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</si>
  <si>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</si>
  <si>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</si>
  <si>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</si>
  <si>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</si>
  <si>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</si>
  <si>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</si>
  <si>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</si>
  <si>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</si>
  <si>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</si>
  <si>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</si>
  <si>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</si>
  <si>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</si>
  <si>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</si>
  <si>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</si>
  <si>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</si>
  <si>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</si>
  <si>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</si>
  <si>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</si>
  <si>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</si>
  <si>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</si>
  <si>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</si>
  <si>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</si>
  <si>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</si>
  <si>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</si>
  <si>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</si>
  <si>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</si>
  <si>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</si>
  <si>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</si>
  <si>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</si>
  <si>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</si>
  <si>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</si>
  <si>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</si>
  <si>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</si>
  <si>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</si>
  <si>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</si>
  <si>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</si>
  <si>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</si>
  <si>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</si>
  <si>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</si>
  <si>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</si>
  <si>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</si>
  <si>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</si>
  <si>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</si>
  <si>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</si>
  <si>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</si>
  <si>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</si>
  <si>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</si>
  <si>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</si>
  <si>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</si>
  <si>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</si>
  <si>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</si>
  <si>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</si>
  <si>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</si>
  <si>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</si>
  <si>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</si>
  <si>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</si>
  <si>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</si>
  <si>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</si>
  <si>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</si>
  <si>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</si>
  <si>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</si>
  <si>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</si>
  <si>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</si>
  <si>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</si>
  <si>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</si>
  <si>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</si>
  <si>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</si>
  <si>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</si>
  <si>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</si>
  <si>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</si>
  <si>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</si>
  <si>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</si>
  <si>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</si>
  <si>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</si>
  <si>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</si>
  <si>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</si>
  <si>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</si>
  <si>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</si>
  <si>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</si>
  <si>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</si>
  <si>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</si>
  <si>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</si>
  <si>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</si>
  <si>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</si>
  <si>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</si>
  <si>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</si>
  <si>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</si>
  <si>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</si>
  <si>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</si>
  <si>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</si>
  <si>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</si>
  <si>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</si>
  <si>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</si>
  <si>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</si>
  <si>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</si>
  <si>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</si>
  <si>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</si>
  <si>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</si>
  <si>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</si>
  <si>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</si>
  <si>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</si>
  <si>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</si>
  <si>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</si>
  <si>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</si>
  <si>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</si>
  <si>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</si>
  <si>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</si>
  <si>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</si>
  <si>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</si>
  <si>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</si>
  <si>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</si>
  <si>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</si>
  <si>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</si>
  <si>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</si>
  <si>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</si>
  <si>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</si>
  <si>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</si>
  <si>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</si>
  <si>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</si>
  <si>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</si>
  <si>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</si>
  <si>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</si>
  <si>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</si>
  <si>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</si>
  <si>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</si>
  <si>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</si>
  <si>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</si>
  <si>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</si>
  <si>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</si>
  <si>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</si>
  <si>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</si>
  <si>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</si>
  <si>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</si>
  <si>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</si>
  <si>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</si>
  <si>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</si>
  <si>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</si>
  <si>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</si>
  <si>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</si>
  <si>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</si>
  <si>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</si>
  <si>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</si>
  <si>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</si>
  <si>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</si>
  <si>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</si>
  <si>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</si>
  <si>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</si>
  <si>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</si>
  <si>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</si>
  <si>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</si>
  <si>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</si>
  <si>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</si>
  <si>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</si>
  <si>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</si>
  <si>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</si>
  <si>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</si>
  <si>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</si>
  <si>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</si>
  <si>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</si>
  <si>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</si>
  <si>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</si>
  <si>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</si>
  <si>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</si>
  <si>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</si>
  <si>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</si>
  <si>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</si>
  <si>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</si>
  <si>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</si>
  <si>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</si>
  <si>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</si>
  <si>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</si>
  <si>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</si>
  <si>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</si>
  <si>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</si>
  <si>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</si>
  <si>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</si>
  <si>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</si>
  <si>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</si>
  <si>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</si>
  <si>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</si>
  <si>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</si>
  <si>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</si>
  <si>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</si>
  <si>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</si>
  <si>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</si>
  <si>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</si>
  <si>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</si>
  <si>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</si>
  <si>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</si>
  <si>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</si>
  <si>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</si>
  <si>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</si>
  <si>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</si>
  <si>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</si>
  <si>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</si>
  <si>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</si>
  <si>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</si>
  <si>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</si>
  <si>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</si>
  <si>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</si>
  <si>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</si>
  <si>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</si>
  <si>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</si>
  <si>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</si>
  <si>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</si>
  <si>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</si>
  <si>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</si>
  <si>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</si>
  <si>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</si>
  <si>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</si>
  <si>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</si>
  <si>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</si>
  <si>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</si>
  <si>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</si>
  <si>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</si>
  <si>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</si>
  <si>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</si>
  <si>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</si>
  <si>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</si>
  <si>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</si>
  <si>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</si>
  <si>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</si>
  <si>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</si>
  <si>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</si>
  <si>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</si>
  <si>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</si>
  <si>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</si>
  <si>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</si>
  <si>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</si>
  <si>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</si>
  <si>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</si>
  <si>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</si>
  <si>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</si>
  <si>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</si>
  <si>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</si>
  <si>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</si>
  <si>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</si>
  <si>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</si>
  <si>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</si>
  <si>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</si>
  <si>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</si>
  <si>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</si>
  <si>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</si>
  <si>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</si>
  <si>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</si>
  <si>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</si>
  <si>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</si>
  <si>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</si>
  <si>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</si>
  <si>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</si>
  <si>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</si>
  <si>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</si>
  <si>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</si>
  <si>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</si>
  <si>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</si>
  <si>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</si>
  <si>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</si>
  <si>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</si>
  <si>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</si>
  <si>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</si>
  <si>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</si>
  <si>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</si>
  <si>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</si>
  <si>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</si>
  <si>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</si>
  <si>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</si>
  <si>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</si>
  <si>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</si>
  <si>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</si>
  <si>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</si>
  <si>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</si>
  <si>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</si>
  <si>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</si>
  <si>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</si>
  <si>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</si>
  <si>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</si>
  <si>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</si>
  <si>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</si>
  <si>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</si>
  <si>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</si>
  <si>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</si>
  <si>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</si>
  <si>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</si>
  <si>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</si>
  <si>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</si>
  <si>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</si>
  <si>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</si>
  <si>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</si>
  <si>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</si>
  <si>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</si>
  <si>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</si>
  <si>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</si>
  <si>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</si>
  <si>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</si>
  <si>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</si>
  <si>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</si>
  <si>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</si>
  <si>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</si>
  <si>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</si>
  <si>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</si>
  <si>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</si>
  <si>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</si>
  <si>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</si>
  <si>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</si>
  <si>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</si>
  <si>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</si>
  <si>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</si>
  <si>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</si>
  <si>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</si>
  <si>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</si>
  <si>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</si>
  <si>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</si>
  <si>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</si>
  <si>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</si>
  <si>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</si>
  <si>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</si>
  <si>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</si>
  <si>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</si>
  <si>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</si>
  <si>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</si>
  <si>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</si>
  <si>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</si>
  <si>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</si>
  <si>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</si>
  <si>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</si>
  <si>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</si>
  <si>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</si>
  <si>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</si>
  <si>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</si>
  <si>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</si>
  <si>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</si>
  <si>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</si>
  <si>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</si>
  <si>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</si>
  <si>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</si>
  <si>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</si>
  <si>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</si>
  <si>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</si>
  <si>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</si>
  <si>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</si>
  <si>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</si>
  <si>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</si>
  <si>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</si>
  <si>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</si>
  <si>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</si>
  <si>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</si>
  <si>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</si>
  <si>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</si>
  <si>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</si>
  <si>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</si>
  <si>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</si>
  <si>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</si>
  <si>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</si>
  <si>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</si>
  <si>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</si>
  <si>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</si>
  <si>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</si>
  <si>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</si>
  <si>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</si>
  <si>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</si>
  <si>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</si>
  <si>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</si>
  <si>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</si>
  <si>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</si>
  <si>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</si>
  <si>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</si>
  <si>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</si>
  <si>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</si>
  <si>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</si>
  <si>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</si>
  <si>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</si>
  <si>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</si>
  <si>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</si>
  <si>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</si>
  <si>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</si>
  <si>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</si>
  <si>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</si>
  <si>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</si>
  <si>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</si>
  <si>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</si>
  <si>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</si>
  <si>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</si>
  <si>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</si>
  <si>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</si>
  <si>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</si>
  <si>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</si>
  <si>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</si>
  <si>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</si>
  <si>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</si>
  <si>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</si>
  <si>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</si>
  <si>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</si>
  <si>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</si>
  <si>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</si>
  <si>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</si>
  <si>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</si>
  <si>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</si>
  <si>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</si>
  <si>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</si>
  <si>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</si>
  <si>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</si>
  <si>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</si>
  <si>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</si>
  <si>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</si>
  <si>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</si>
  <si>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</si>
  <si>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</si>
  <si>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</si>
  <si>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</si>
  <si>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</si>
  <si>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</si>
  <si>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</si>
  <si>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</si>
  <si>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</si>
  <si>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</si>
  <si>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</si>
  <si>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</si>
  <si>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</si>
  <si>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</si>
  <si>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</si>
  <si>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</si>
  <si>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</si>
  <si>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</si>
  <si>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</si>
  <si>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</si>
  <si>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</si>
  <si>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</si>
  <si>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</si>
  <si>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</si>
  <si>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</si>
  <si>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</si>
  <si>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</si>
  <si>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</si>
  <si>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</si>
  <si>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</si>
  <si>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</si>
  <si>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</si>
  <si>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</si>
  <si>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</si>
  <si>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</si>
  <si>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</si>
  <si>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</si>
  <si>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</si>
  <si>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</si>
  <si>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</si>
  <si>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</si>
  <si>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</si>
  <si>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</si>
  <si>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</si>
  <si>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</si>
  <si>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</si>
  <si>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</si>
  <si>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</si>
  <si>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</si>
  <si>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</si>
  <si>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</si>
  <si>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</si>
  <si>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</si>
  <si>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</si>
  <si>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</si>
  <si>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</si>
  <si>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</si>
  <si>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</si>
  <si>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</si>
  <si>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</si>
  <si>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</si>
  <si>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</si>
  <si>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</si>
  <si>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</si>
  <si>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</si>
  <si>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</si>
  <si>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</si>
  <si>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</si>
  <si>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</si>
  <si>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</si>
  <si>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</si>
  <si>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</si>
  <si>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</si>
  <si>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</si>
  <si>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</si>
  <si>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</si>
  <si>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</si>
  <si>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</si>
  <si>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</si>
  <si>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</si>
  <si>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</si>
  <si>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</si>
  <si>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</si>
  <si>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</si>
  <si>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</si>
  <si>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</si>
  <si>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</si>
  <si>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</si>
  <si>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</si>
  <si>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</si>
  <si>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</si>
  <si>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</si>
  <si>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</si>
  <si>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</si>
  <si>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</si>
  <si>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</si>
  <si>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</si>
  <si>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</si>
  <si>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</si>
  <si>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</si>
  <si>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</si>
  <si>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</si>
  <si>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</si>
  <si>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</si>
  <si>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</si>
  <si>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</si>
  <si>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</si>
  <si>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</si>
  <si>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</si>
  <si>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</si>
  <si>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</si>
  <si>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</si>
  <si>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</si>
  <si>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</si>
  <si>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</si>
  <si>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</si>
  <si>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</si>
  <si>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</si>
  <si>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</si>
  <si>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</si>
  <si>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</si>
  <si>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</si>
  <si>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</si>
  <si>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</si>
  <si>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</si>
  <si>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</si>
  <si>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</si>
  <si>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</si>
  <si>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</si>
  <si>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</si>
  <si>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</si>
  <si>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</si>
  <si>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</si>
  <si>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</si>
  <si>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</si>
  <si>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</si>
  <si>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</si>
  <si>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</si>
  <si>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</si>
  <si>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</si>
  <si>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</si>
  <si>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</si>
  <si>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</si>
  <si>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</si>
  <si>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</si>
  <si>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</si>
  <si>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</si>
  <si>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</si>
  <si>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</si>
  <si>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</si>
  <si>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</si>
  <si>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</si>
  <si>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</si>
  <si>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</si>
  <si>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</si>
  <si>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</si>
  <si>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</si>
  <si>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</si>
  <si>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</si>
  <si>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</si>
  <si>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</si>
  <si>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</si>
  <si>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</si>
  <si>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</si>
  <si>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</si>
  <si>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</si>
  <si>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</si>
  <si>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</si>
  <si>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</si>
  <si>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</si>
  <si>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</si>
  <si>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</si>
  <si>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</si>
  <si>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</si>
  <si>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</si>
  <si>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</si>
  <si>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</si>
  <si>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</si>
  <si>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</si>
  <si>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</si>
  <si>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</si>
  <si>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</si>
  <si>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</si>
  <si>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</si>
  <si>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</si>
  <si>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</si>
  <si>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</si>
  <si>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</si>
  <si>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</si>
  <si>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</si>
  <si>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</si>
  <si>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</si>
  <si>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</si>
  <si>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</si>
  <si>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</si>
  <si>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</si>
  <si>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</si>
  <si>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</si>
  <si>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</si>
  <si>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</si>
  <si>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</si>
  <si>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</si>
  <si>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</si>
  <si>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</si>
  <si>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</si>
  <si>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</si>
  <si>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</si>
  <si>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</si>
  <si>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</si>
  <si>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</si>
  <si>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</si>
  <si>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</si>
  <si>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</si>
  <si>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</si>
  <si>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</si>
  <si>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</si>
  <si>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</si>
  <si>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</si>
  <si>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</si>
  <si>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</si>
  <si>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</si>
  <si>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</si>
  <si>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</si>
  <si>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</si>
  <si>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</si>
  <si>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</si>
  <si>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</si>
  <si>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</si>
  <si>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</si>
  <si>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</si>
  <si>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</si>
  <si>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</si>
  <si>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</si>
  <si>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</si>
  <si>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</si>
  <si>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</si>
  <si>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</si>
  <si>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</si>
  <si>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</si>
  <si>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</si>
  <si>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</si>
  <si>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</si>
  <si>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</si>
  <si>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</si>
  <si>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</si>
  <si>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</si>
  <si>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</si>
  <si>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</si>
  <si>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</si>
  <si>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</si>
  <si>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</si>
  <si>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</si>
  <si>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</si>
  <si>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</si>
  <si>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</si>
  <si>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</si>
  <si>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</si>
  <si>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</si>
  <si>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</si>
  <si>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</si>
  <si>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</si>
  <si>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</si>
  <si>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</si>
  <si>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</si>
  <si>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</si>
  <si>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</si>
  <si>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</si>
  <si>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</si>
  <si>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</si>
  <si>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</si>
  <si>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</si>
  <si>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</si>
  <si>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</si>
  <si>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</si>
  <si>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</si>
  <si>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</si>
  <si>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</si>
  <si>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</si>
  <si>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</si>
  <si>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</si>
  <si>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</si>
  <si>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</si>
  <si>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</si>
  <si>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</si>
  <si>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</si>
  <si>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</si>
  <si>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</si>
  <si>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</si>
  <si>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</si>
  <si>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</si>
  <si>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</si>
  <si>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</si>
  <si>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</si>
  <si>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</si>
  <si>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</si>
  <si>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</si>
  <si>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</si>
  <si>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</si>
  <si>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</si>
  <si>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</si>
  <si>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</si>
  <si>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</si>
  <si>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</si>
  <si>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</si>
  <si>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</si>
  <si>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</si>
  <si>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</si>
  <si>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</si>
  <si>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</si>
  <si>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</si>
  <si>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</si>
  <si>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</si>
  <si>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</si>
  <si>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</si>
  <si>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</si>
  <si>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</si>
  <si>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</si>
  <si>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</si>
  <si>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</si>
  <si>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</si>
  <si>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</si>
  <si>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</si>
  <si>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</si>
  <si>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</si>
  <si>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</si>
  <si>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</si>
  <si>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</si>
  <si>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</si>
  <si>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</si>
  <si>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</si>
  <si>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</si>
  <si>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</si>
  <si>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</si>
  <si>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</si>
  <si>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</si>
  <si>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</si>
  <si>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</si>
  <si>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</si>
  <si>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</si>
  <si>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</si>
  <si>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</si>
  <si>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</si>
  <si>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</si>
  <si>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</si>
  <si>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</si>
  <si>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</si>
  <si>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</si>
  <si>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</si>
  <si>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</si>
  <si>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</si>
  <si>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</si>
  <si>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</si>
  <si>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</si>
  <si>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</si>
  <si>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</si>
  <si>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</si>
  <si>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</si>
  <si>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</si>
  <si>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</si>
  <si>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</si>
  <si>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</si>
  <si>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</si>
  <si>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</si>
  <si>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</si>
  <si>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</si>
  <si>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</si>
  <si>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</si>
  <si>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</si>
  <si>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</si>
  <si>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</si>
  <si>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</si>
  <si>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</si>
  <si>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</si>
  <si>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</si>
  <si>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</si>
  <si>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</si>
  <si>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</si>
  <si>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</si>
  <si>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</si>
  <si>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</si>
  <si>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</si>
  <si>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</si>
  <si>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</si>
  <si>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</si>
  <si>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</si>
  <si>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</si>
  <si>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</si>
  <si>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</si>
  <si>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</si>
  <si>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</si>
  <si>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</si>
  <si>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</si>
  <si>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</si>
  <si>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</si>
  <si>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</si>
  <si>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</si>
  <si>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</si>
  <si>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</si>
  <si>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</si>
  <si>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</si>
  <si>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</si>
  <si>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</si>
  <si>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</si>
  <si>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</si>
  <si>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</si>
  <si>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</si>
  <si>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</si>
  <si>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</si>
  <si>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</si>
  <si>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</si>
  <si>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</si>
  <si>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</si>
  <si>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</si>
  <si>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</si>
  <si>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</si>
  <si>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</si>
  <si>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</si>
  <si>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</si>
  <si>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</si>
  <si>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</si>
  <si>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</si>
  <si>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</si>
  <si>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</si>
  <si>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</si>
  <si>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</si>
  <si>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</si>
  <si>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</si>
  <si>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</si>
  <si>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</si>
  <si>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</si>
  <si>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</si>
  <si>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</si>
  <si>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</si>
  <si>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</si>
  <si>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</si>
  <si>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</si>
  <si>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</si>
  <si>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</si>
  <si>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</si>
  <si>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</si>
  <si>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</si>
  <si>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</si>
  <si>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</si>
  <si>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</si>
  <si>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</si>
  <si>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</si>
  <si>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</si>
  <si>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</si>
  <si>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</si>
  <si>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</si>
  <si>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</si>
  <si>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</si>
  <si>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</si>
  <si>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</si>
  <si>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</si>
  <si>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</si>
  <si>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</si>
  <si>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</si>
  <si>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</si>
  <si>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</si>
  <si>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</si>
  <si>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</si>
  <si>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</si>
  <si>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</si>
  <si>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</si>
  <si>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</si>
  <si>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</si>
  <si>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</si>
  <si>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</si>
  <si>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</si>
  <si>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</si>
  <si>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</si>
  <si>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</si>
  <si>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</si>
  <si>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</si>
  <si>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</si>
  <si>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</si>
  <si>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</si>
  <si>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</si>
  <si>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</si>
  <si>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</si>
  <si>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</si>
  <si>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</si>
  <si>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</si>
  <si>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</si>
  <si>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</si>
  <si>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</si>
  <si>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</si>
  <si>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</si>
  <si>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</si>
  <si>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</si>
  <si>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</si>
  <si>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</si>
  <si>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</si>
  <si>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</si>
  <si>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</si>
  <si>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</si>
  <si>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</si>
  <si>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</si>
  <si>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</si>
  <si>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</si>
  <si>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</si>
  <si>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</si>
  <si>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</si>
  <si>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</si>
  <si>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</si>
  <si>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</si>
  <si>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</si>
  <si>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</si>
  <si>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</si>
  <si>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</si>
  <si>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</si>
  <si>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</si>
  <si>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</si>
  <si>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</si>
  <si>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</si>
  <si>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</si>
  <si>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</si>
  <si>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</si>
  <si>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</si>
  <si>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</si>
  <si>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</si>
  <si>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</si>
  <si>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</si>
  <si>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</si>
  <si>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</si>
  <si>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</si>
  <si>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</si>
  <si>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</si>
  <si>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</si>
  <si>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</si>
  <si>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</si>
  <si>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</si>
  <si>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</si>
  <si>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</si>
  <si>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</si>
  <si>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</si>
  <si>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</si>
  <si>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</si>
  <si>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</si>
  <si>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</si>
  <si>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</si>
  <si>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</si>
  <si>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</si>
  <si>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</si>
  <si>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</si>
  <si>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</si>
  <si>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</si>
  <si>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</si>
  <si>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</si>
  <si>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</si>
  <si>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</si>
  <si>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</si>
  <si>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</si>
  <si>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</si>
  <si>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</si>
  <si>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</si>
  <si>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</si>
  <si>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</si>
  <si>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</si>
  <si>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</si>
  <si>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</si>
  <si>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</si>
  <si>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</si>
  <si>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</si>
  <si>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</si>
  <si>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</si>
  <si>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</si>
  <si>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</si>
  <si>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</si>
  <si>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</si>
  <si>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</si>
  <si>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</si>
  <si>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</si>
  <si>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</si>
  <si>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</si>
  <si>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</si>
  <si>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</si>
  <si>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</si>
  <si>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</si>
  <si>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</si>
  <si>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</si>
  <si>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</si>
  <si>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</si>
  <si>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</si>
  <si>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</si>
  <si>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</si>
  <si>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</si>
  <si>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</si>
  <si>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</si>
  <si>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</si>
  <si>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</si>
  <si>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</si>
  <si>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</si>
  <si>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</si>
  <si>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</si>
  <si>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</si>
  <si>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</si>
  <si>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</si>
  <si>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</si>
  <si>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</si>
  <si>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</si>
  <si>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</si>
  <si>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</si>
  <si>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</si>
  <si>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</si>
  <si>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</si>
  <si>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</si>
  <si>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</si>
  <si>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</si>
  <si>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</si>
  <si>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</si>
  <si>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</si>
  <si>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</si>
  <si>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</si>
  <si>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</si>
  <si>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</si>
  <si>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</si>
  <si>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</si>
  <si>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</si>
  <si>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</si>
  <si>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</si>
  <si>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</si>
  <si>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</si>
  <si>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</si>
  <si>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</si>
  <si>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</si>
  <si>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</si>
  <si>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</si>
  <si>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</si>
  <si>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</si>
  <si>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</si>
  <si>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</si>
  <si>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</si>
  <si>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</si>
  <si>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</si>
  <si>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</si>
  <si>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</si>
  <si>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</si>
  <si>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</si>
  <si>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</si>
  <si>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</si>
  <si>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</si>
  <si>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</si>
  <si>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</si>
  <si>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</si>
  <si>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</si>
  <si>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</si>
  <si>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</si>
  <si>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</si>
  <si>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</si>
  <si>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</si>
  <si>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</si>
  <si>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</si>
  <si>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</si>
  <si>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</si>
  <si>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</si>
  <si>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</si>
  <si>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</si>
  <si>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</si>
  <si>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</si>
  <si>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</si>
  <si>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</si>
  <si>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</si>
  <si>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</si>
  <si>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</si>
  <si>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</si>
  <si>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</si>
  <si>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</si>
  <si>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</si>
  <si>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</si>
  <si>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</si>
  <si>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</si>
  <si>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</si>
  <si>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</si>
  <si>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</si>
  <si>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</si>
  <si>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</si>
  <si>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</si>
  <si>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</si>
  <si>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</si>
  <si>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</si>
  <si>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</si>
  <si>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</si>
  <si>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</si>
  <si>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</si>
  <si>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</si>
  <si>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</si>
  <si>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</si>
  <si>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</si>
  <si>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</si>
  <si>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</si>
  <si>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</si>
  <si>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</si>
  <si>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</si>
  <si>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</si>
  <si>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</si>
  <si>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</si>
  <si>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</si>
  <si>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</si>
  <si>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</si>
  <si>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</si>
  <si>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</si>
  <si>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</si>
  <si>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</si>
  <si>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</si>
  <si>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</si>
  <si>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</si>
  <si>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</si>
  <si>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</si>
  <si>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</si>
  <si>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</si>
  <si>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</si>
  <si>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</si>
  <si>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</si>
  <si>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</si>
  <si>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</si>
  <si>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</si>
  <si>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</si>
  <si>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</si>
  <si>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</si>
  <si>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</si>
  <si>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</si>
  <si>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</si>
  <si>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</si>
  <si>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</si>
  <si>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</si>
  <si>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</si>
  <si>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</si>
  <si>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</si>
  <si>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</si>
  <si>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</si>
  <si>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</si>
  <si>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</si>
  <si>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</si>
  <si>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</si>
  <si>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</si>
  <si>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</si>
  <si>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</si>
  <si>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</si>
  <si>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</si>
  <si>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</si>
  <si>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</si>
  <si>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</si>
  <si>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</si>
  <si>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</si>
  <si>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</si>
  <si>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</si>
  <si>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</si>
  <si>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</si>
  <si>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</si>
  <si>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</si>
  <si>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</si>
  <si>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</si>
  <si>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</si>
  <si>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</si>
  <si>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</si>
  <si>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</si>
  <si>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</si>
  <si>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</si>
  <si>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</si>
  <si>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</si>
  <si>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</si>
  <si>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</si>
  <si>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</si>
  <si>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</si>
  <si>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</si>
  <si>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</si>
  <si>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</si>
  <si>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</si>
  <si>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</si>
  <si>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</si>
  <si>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</si>
  <si>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</si>
  <si>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</si>
  <si>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</si>
  <si>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</si>
  <si>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</si>
  <si>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</si>
  <si>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</si>
  <si>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</si>
  <si>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</si>
  <si>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</si>
  <si>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</si>
  <si>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</si>
  <si>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</si>
  <si>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</si>
  <si>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</si>
  <si>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</si>
  <si>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</si>
  <si>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</si>
  <si>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</si>
  <si>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</si>
  <si>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</si>
  <si>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</si>
  <si>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</si>
  <si>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</si>
  <si>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</si>
  <si>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</si>
  <si>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</si>
  <si>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</si>
  <si>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</si>
  <si>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</si>
  <si>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</si>
  <si>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</si>
  <si>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</si>
  <si>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</si>
  <si>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</si>
  <si>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</si>
  <si>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</si>
  <si>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</si>
  <si>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</si>
  <si>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</si>
  <si>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</si>
  <si>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</si>
  <si>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</si>
  <si>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</si>
  <si>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</si>
  <si>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</si>
  <si>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</si>
  <si>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</si>
  <si>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</si>
  <si>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</si>
  <si>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</si>
  <si>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</si>
  <si>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</si>
  <si>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</si>
  <si>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</si>
  <si>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</si>
  <si>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</si>
  <si>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</si>
  <si>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</si>
  <si>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</si>
  <si>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</si>
  <si>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</si>
  <si>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</si>
  <si>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</si>
  <si>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</si>
  <si>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</si>
  <si>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</si>
  <si>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</si>
  <si>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</si>
  <si>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</si>
  <si>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</si>
  <si>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</si>
  <si>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</si>
  <si>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</si>
  <si>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</si>
  <si>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</si>
  <si>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</si>
  <si>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</si>
  <si>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</si>
  <si>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</si>
  <si>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</si>
  <si>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</si>
  <si>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</si>
  <si>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</si>
  <si>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</si>
  <si>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</si>
  <si>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</si>
  <si>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</si>
  <si>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</si>
  <si>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</si>
  <si>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</si>
  <si>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</si>
  <si>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</si>
  <si>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</si>
  <si>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</si>
  <si>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</si>
  <si>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</si>
  <si>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</si>
  <si>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</si>
  <si>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</si>
  <si>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</si>
  <si>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</si>
  <si>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</si>
  <si>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</si>
  <si>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</si>
  <si>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</si>
  <si>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</si>
  <si>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</si>
  <si>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</si>
  <si>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</si>
  <si>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</si>
  <si>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</si>
  <si>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</si>
  <si>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</si>
  <si>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</si>
  <si>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</si>
  <si>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</si>
  <si>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</si>
  <si>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</si>
  <si>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</si>
  <si>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</si>
  <si>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</si>
  <si>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</si>
  <si>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</si>
  <si>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</si>
  <si>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</si>
  <si>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</si>
  <si>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</si>
  <si>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</si>
  <si>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</si>
  <si>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</si>
  <si>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</si>
  <si>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</si>
  <si>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</si>
  <si>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</si>
  <si>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</si>
  <si>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</si>
  <si>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</si>
  <si>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</si>
  <si>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</si>
  <si>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</si>
  <si>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</si>
  <si>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</si>
  <si>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</si>
  <si>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</si>
  <si>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</si>
  <si>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</si>
  <si>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</si>
  <si>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</si>
  <si>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</si>
  <si>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</si>
  <si>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</si>
  <si>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</si>
  <si>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</si>
  <si>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</si>
  <si>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</si>
  <si>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</si>
  <si>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</si>
  <si>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</si>
  <si>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</si>
  <si>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</si>
  <si>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</si>
  <si>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</si>
  <si>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</si>
  <si>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</si>
  <si>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</si>
  <si>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</si>
  <si>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</si>
  <si>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</si>
  <si>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</si>
  <si>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</si>
  <si>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</si>
  <si>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</si>
  <si>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</si>
  <si>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</si>
  <si>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</si>
  <si>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</si>
  <si>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</si>
  <si>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</si>
  <si>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</si>
  <si>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</si>
  <si>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</si>
  <si>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</si>
  <si>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</si>
  <si>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</si>
  <si>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</si>
  <si>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</si>
  <si>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</si>
  <si>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</si>
  <si>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</si>
  <si>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</si>
  <si>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</si>
  <si>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</si>
  <si>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</si>
  <si>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</si>
  <si>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</si>
  <si>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</si>
  <si>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</si>
  <si>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</si>
  <si>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</si>
  <si>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</si>
  <si>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</si>
  <si>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</si>
  <si>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</si>
  <si>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</si>
  <si>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</si>
  <si>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</si>
  <si>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</si>
  <si>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</si>
  <si>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</si>
  <si>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</si>
  <si>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</si>
  <si>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</si>
  <si>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</si>
  <si>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</si>
  <si>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</si>
  <si>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</si>
  <si>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</si>
  <si>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</si>
  <si>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</si>
  <si>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</si>
  <si>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</si>
  <si>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</si>
  <si>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</si>
  <si>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</si>
  <si>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</si>
  <si>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</si>
  <si>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</si>
  <si>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</si>
  <si>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</si>
  <si>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</si>
  <si>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</si>
  <si>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</si>
  <si>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</si>
  <si>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</si>
  <si>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</si>
  <si>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</si>
  <si>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</si>
  <si>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</si>
  <si>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</si>
  <si>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</si>
  <si>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</si>
  <si>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</si>
  <si>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</si>
  <si>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</si>
  <si>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</si>
  <si>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</si>
  <si>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</si>
  <si>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</si>
  <si>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</si>
  <si>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</si>
  <si>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</si>
  <si>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</si>
  <si>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</si>
  <si>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</si>
  <si>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</si>
  <si>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</si>
  <si>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</si>
  <si>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</si>
  <si>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</si>
  <si>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</si>
  <si>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</si>
  <si>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</si>
  <si>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</si>
  <si>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</si>
  <si>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</si>
  <si>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</si>
  <si>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</si>
  <si>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</si>
  <si>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</si>
  <si>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</si>
  <si>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</si>
  <si>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</si>
  <si>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</si>
  <si>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</si>
  <si>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</si>
  <si>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</si>
  <si>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</si>
  <si>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</si>
  <si>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</si>
  <si>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</si>
  <si>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</si>
  <si>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</si>
  <si>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</si>
  <si>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</si>
  <si>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</si>
  <si>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</si>
  <si>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</si>
  <si>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</si>
  <si>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</si>
  <si>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</si>
  <si>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</si>
  <si>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</si>
  <si>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</si>
  <si>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</si>
  <si>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</si>
  <si>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</si>
  <si>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</si>
  <si>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</si>
  <si>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</si>
  <si>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</si>
  <si>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</si>
  <si>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</si>
  <si>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</si>
  <si>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</si>
  <si>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</si>
  <si>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</si>
  <si>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</si>
  <si>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</si>
  <si>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</si>
  <si>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</si>
  <si>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</si>
  <si>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</si>
  <si>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</si>
  <si>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</si>
  <si>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</si>
  <si>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</si>
  <si>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</si>
  <si>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</si>
  <si>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</si>
  <si>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</si>
  <si>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</si>
  <si>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</si>
  <si>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</si>
  <si>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</si>
  <si>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</si>
  <si>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</si>
  <si>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</si>
  <si>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</si>
  <si>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</si>
  <si>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</si>
  <si>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</si>
  <si>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</si>
  <si>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</si>
  <si>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</si>
  <si>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</si>
  <si>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</si>
  <si>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</si>
  <si>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</si>
  <si>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</si>
  <si>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</si>
  <si>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</si>
  <si>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</si>
  <si>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</si>
  <si>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</si>
  <si>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</si>
  <si>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</si>
  <si>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</si>
  <si>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</si>
  <si>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</si>
  <si>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</si>
  <si>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</si>
  <si>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</si>
  <si>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</si>
  <si>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</si>
  <si>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</si>
  <si>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</si>
  <si>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</si>
  <si>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</si>
  <si>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</si>
  <si>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</si>
  <si>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</si>
  <si>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</si>
  <si>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</si>
  <si>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</si>
  <si>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</si>
  <si>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</si>
  <si>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</si>
  <si>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</si>
  <si>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</si>
  <si>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</si>
  <si>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</si>
  <si>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</si>
  <si>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</si>
  <si>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</si>
  <si>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</si>
  <si>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</si>
  <si>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</si>
  <si>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</si>
  <si>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</si>
  <si>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</si>
  <si>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</si>
  <si>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</si>
  <si>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</si>
  <si>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</si>
  <si>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</si>
  <si>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</si>
  <si>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</si>
  <si>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</si>
  <si>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</si>
  <si>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</si>
  <si>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</si>
  <si>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</si>
  <si>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</si>
  <si>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</si>
  <si>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</si>
  <si>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</si>
  <si>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</si>
  <si>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</si>
  <si>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</si>
  <si>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</si>
  <si>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</si>
  <si>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</si>
  <si>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</si>
  <si>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</si>
  <si>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</si>
  <si>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</si>
  <si>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</si>
  <si>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</si>
  <si>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</si>
  <si>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</si>
  <si>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</si>
  <si>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</si>
  <si>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</si>
  <si>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</si>
  <si>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</si>
  <si>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</si>
  <si>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</si>
  <si>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</si>
  <si>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</si>
  <si>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</si>
  <si>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</si>
  <si>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</si>
  <si>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</si>
  <si>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</si>
  <si>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</si>
  <si>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</si>
  <si>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</si>
  <si>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</si>
  <si>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</si>
  <si>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</si>
  <si>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</si>
  <si>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</si>
  <si>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</si>
  <si>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</si>
  <si>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</si>
  <si>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</si>
  <si>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</si>
  <si>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</si>
  <si>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</si>
  <si>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</si>
  <si>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</si>
  <si>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</si>
  <si>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</si>
  <si>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</si>
  <si>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</si>
  <si>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</si>
  <si>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</si>
  <si>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</si>
  <si>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</si>
  <si>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</si>
  <si>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</si>
  <si>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</si>
  <si>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</si>
  <si>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</si>
  <si>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</si>
  <si>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</si>
  <si>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</si>
  <si>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</si>
  <si>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</si>
  <si>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</si>
  <si>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</si>
  <si>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</si>
  <si>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</si>
  <si>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</si>
  <si>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</si>
  <si>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</si>
  <si>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</si>
  <si>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</si>
  <si>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</si>
  <si>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</si>
  <si>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</si>
  <si>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</si>
  <si>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</si>
  <si>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</si>
  <si>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</si>
  <si>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</si>
  <si>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</si>
  <si>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</si>
  <si>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</si>
  <si>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</si>
  <si>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</si>
  <si>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</si>
  <si>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</si>
  <si>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</si>
  <si>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</si>
  <si>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</si>
  <si>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</si>
  <si>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</si>
  <si>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</si>
  <si>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</si>
  <si>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</si>
  <si>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</si>
  <si>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</si>
  <si>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</si>
  <si>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</si>
  <si>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</si>
  <si>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</si>
  <si>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</si>
  <si>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</si>
  <si>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</si>
  <si>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</si>
  <si>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</si>
  <si>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</si>
  <si>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</si>
  <si>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</si>
  <si>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</si>
  <si>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</si>
  <si>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</si>
  <si>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</si>
  <si>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</si>
  <si>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</si>
  <si>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</si>
  <si>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</si>
  <si>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</si>
  <si>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</si>
  <si>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</si>
  <si>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</si>
  <si>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</si>
  <si>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</si>
  <si>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</si>
  <si>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</si>
  <si>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</si>
  <si>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</si>
  <si>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</si>
  <si>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</si>
  <si>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</si>
  <si>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</si>
  <si>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</si>
  <si>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</si>
  <si>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</si>
  <si>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</si>
  <si>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</si>
  <si>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</si>
  <si>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</si>
  <si>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</si>
  <si>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</si>
  <si>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</si>
  <si>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</si>
  <si>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</si>
  <si>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</si>
  <si>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</si>
  <si>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</si>
  <si>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</si>
  <si>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</si>
  <si>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</si>
  <si>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</si>
  <si>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</si>
  <si>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</si>
  <si>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</si>
  <si>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</si>
  <si>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</si>
  <si>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</si>
  <si>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</si>
  <si>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</si>
  <si>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</si>
  <si>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</si>
  <si>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</si>
  <si>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</si>
  <si>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</si>
  <si>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</si>
  <si>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</si>
  <si>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</si>
  <si>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</si>
  <si>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</si>
  <si>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</si>
  <si>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</si>
  <si>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</si>
  <si>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</si>
  <si>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</si>
  <si>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</si>
  <si>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</si>
  <si>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</si>
  <si>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</si>
  <si>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</si>
  <si>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</si>
  <si>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</si>
  <si>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</si>
  <si>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</si>
  <si>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</si>
  <si>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</si>
  <si>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</si>
  <si>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</si>
  <si>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</si>
  <si>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</si>
  <si>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</si>
  <si>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</si>
  <si>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</si>
  <si>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</si>
  <si>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</si>
  <si>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</si>
  <si>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</si>
  <si>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</si>
  <si>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</si>
  <si>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</si>
  <si>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</si>
  <si>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</si>
  <si>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</si>
  <si>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</si>
  <si>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</si>
  <si>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</si>
  <si>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</si>
  <si>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</si>
  <si>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</si>
  <si>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</si>
  <si>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</si>
  <si>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</si>
  <si>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</si>
  <si>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</si>
  <si>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</si>
  <si>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</si>
  <si>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</si>
  <si>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</si>
  <si>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</si>
  <si>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</si>
  <si>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</si>
  <si>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</si>
  <si>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</si>
  <si>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</si>
  <si>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</si>
  <si>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</si>
  <si>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</si>
  <si>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</si>
  <si>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</si>
  <si>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</si>
  <si>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</si>
  <si>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</si>
  <si>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</si>
  <si>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</si>
  <si>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</si>
  <si>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</si>
  <si>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</si>
  <si>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</si>
  <si>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</si>
  <si>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</si>
  <si>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</si>
  <si>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</si>
  <si>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</si>
  <si>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</si>
  <si>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</si>
  <si>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</si>
  <si>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</si>
  <si>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</si>
  <si>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</si>
  <si>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</si>
  <si>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</si>
  <si>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</si>
  <si>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</si>
  <si>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</si>
  <si>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</si>
  <si>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</si>
  <si>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</si>
  <si>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</si>
  <si>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</si>
  <si>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</si>
  <si>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</si>
  <si>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</si>
  <si>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</si>
  <si>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</si>
  <si>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</si>
  <si>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</si>
  <si>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</si>
  <si>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</si>
  <si>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</si>
  <si>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</si>
  <si>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</si>
  <si>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</si>
  <si>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</si>
  <si>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</si>
  <si>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</si>
  <si>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</si>
  <si>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</si>
  <si>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</si>
  <si>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</si>
  <si>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</si>
  <si>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</si>
  <si>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</si>
  <si>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</si>
  <si>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</si>
  <si>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</si>
  <si>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</si>
  <si>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</si>
  <si>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</si>
  <si>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</si>
  <si>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</si>
  <si>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</si>
  <si>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</si>
  <si>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</si>
  <si>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</si>
  <si>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</si>
  <si>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</si>
  <si>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</si>
  <si>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</si>
  <si>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</si>
  <si>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</si>
  <si>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</si>
  <si>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</si>
  <si>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</si>
  <si>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</si>
  <si>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</si>
  <si>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</si>
  <si>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</si>
  <si>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</si>
  <si>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</si>
  <si>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</si>
  <si>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</si>
  <si>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</si>
  <si>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</si>
  <si>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</si>
  <si>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</si>
  <si>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</si>
  <si>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</si>
  <si>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</si>
  <si>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</si>
  <si>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</si>
  <si>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</si>
  <si>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</si>
  <si>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</si>
  <si>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</si>
  <si>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</si>
  <si>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</si>
  <si>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</si>
  <si>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</si>
  <si>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</si>
  <si>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</si>
  <si>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</si>
  <si>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</si>
  <si>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</si>
  <si>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</si>
  <si>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</si>
  <si>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</si>
  <si>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</si>
  <si>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</si>
  <si>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</si>
  <si>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</si>
  <si>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</si>
  <si>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</si>
  <si>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</si>
  <si>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</si>
  <si>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</si>
  <si>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</si>
  <si>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</si>
  <si>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</si>
  <si>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</si>
  <si>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</si>
  <si>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</si>
  <si>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</si>
  <si>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</si>
  <si>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</si>
  <si>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</si>
  <si>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</si>
  <si>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</si>
  <si>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</si>
  <si>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</si>
  <si>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</si>
  <si>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</si>
  <si>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</si>
  <si>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</si>
  <si>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</si>
  <si>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</si>
  <si>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</si>
  <si>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</si>
  <si>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</si>
  <si>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</si>
  <si>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</si>
  <si>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</si>
  <si>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</si>
  <si>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</si>
  <si>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</si>
  <si>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</si>
  <si>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</si>
  <si>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</si>
  <si>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</si>
  <si>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</si>
  <si>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</si>
  <si>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</si>
  <si>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</si>
  <si>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</si>
  <si>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</si>
  <si>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</si>
  <si>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</si>
  <si>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</si>
  <si>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</si>
  <si>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</si>
  <si>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</si>
  <si>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</si>
  <si>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</si>
  <si>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</si>
  <si>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</si>
  <si>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</si>
  <si>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</si>
  <si>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</si>
  <si>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</si>
  <si>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</si>
  <si>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</si>
  <si>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</si>
  <si>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</si>
  <si>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</si>
  <si>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</si>
  <si>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</si>
  <si>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</si>
  <si>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</si>
  <si>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</si>
  <si>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</si>
  <si>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</si>
  <si>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</si>
  <si>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</si>
  <si>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</si>
  <si>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</si>
  <si>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</si>
  <si>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</si>
  <si>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</si>
  <si>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</si>
  <si>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</si>
  <si>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</si>
  <si>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</si>
  <si>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</si>
  <si>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</si>
  <si>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</si>
  <si>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</si>
  <si>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</si>
  <si>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</si>
  <si>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</si>
  <si>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</si>
  <si>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</si>
  <si>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</si>
  <si>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</si>
  <si>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</si>
  <si>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</si>
  <si>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</si>
  <si>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</si>
  <si>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</si>
  <si>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</si>
  <si>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</si>
  <si>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</si>
  <si>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</si>
  <si>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</si>
  <si>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</si>
  <si>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</si>
  <si>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</si>
  <si>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</si>
  <si>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</si>
  <si>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</si>
  <si>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</si>
  <si>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</si>
  <si>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</si>
  <si>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</si>
  <si>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</si>
  <si>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</si>
  <si>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</si>
  <si>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</si>
  <si>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</si>
  <si>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</si>
  <si>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</si>
  <si>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</si>
  <si>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</si>
  <si>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</si>
  <si>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</si>
  <si>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</si>
  <si>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</si>
  <si>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</si>
  <si>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</si>
  <si>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</si>
  <si>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</si>
  <si>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</si>
  <si>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</si>
  <si>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</si>
  <si>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</si>
  <si>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</si>
  <si>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</si>
  <si>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</si>
  <si>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</si>
  <si>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</si>
  <si>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</si>
  <si>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</si>
  <si>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</si>
  <si>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</si>
  <si>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</si>
  <si>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</si>
  <si>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</si>
  <si>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</si>
  <si>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</si>
  <si>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</si>
  <si>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</si>
  <si>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</si>
  <si>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</si>
  <si>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抵押</t>
  </si>
  <si>
    <t>房地产抵押价值</t>
  </si>
  <si>
    <t>北京市</t>
  </si>
  <si>
    <t>办公项目</t>
  </si>
  <si>
    <t>现房</t>
  </si>
  <si>
    <t>商务金融用地</t>
  </si>
  <si>
    <t>自定义容积率</t>
  </si>
  <si>
    <t>成新度</t>
  </si>
  <si>
    <t>面积清单</t>
    <phoneticPr fontId="134" type="noConversion"/>
  </si>
  <si>
    <t>不动产权证号</t>
    <phoneticPr fontId="134" type="noConversion"/>
  </si>
  <si>
    <r>
      <t>京（2</t>
    </r>
    <r>
      <rPr>
        <sz val="11"/>
        <color theme="1"/>
        <rFont val="宋体"/>
        <family val="3"/>
        <charset val="134"/>
        <scheme val="minor"/>
      </rPr>
      <t>018）朝不动产权第0131311号</t>
    </r>
    <phoneticPr fontId="134" type="noConversion"/>
  </si>
  <si>
    <t>坐落</t>
    <phoneticPr fontId="134" type="noConversion"/>
  </si>
  <si>
    <r>
      <t>朝阳区东三环南路9</t>
    </r>
    <r>
      <rPr>
        <sz val="11"/>
        <color theme="1"/>
        <rFont val="宋体"/>
        <family val="3"/>
        <charset val="134"/>
        <scheme val="minor"/>
      </rPr>
      <t>8号1幢6层712</t>
    </r>
    <phoneticPr fontId="134" type="noConversion"/>
  </si>
  <si>
    <t>权利人</t>
    <phoneticPr fontId="134" type="noConversion"/>
  </si>
  <si>
    <t>北京高合众智九号企业管理有限公司</t>
    <phoneticPr fontId="134" type="noConversion"/>
  </si>
  <si>
    <t>权利性质</t>
    <phoneticPr fontId="134" type="noConversion"/>
  </si>
  <si>
    <t>商品房</t>
    <phoneticPr fontId="134" type="noConversion"/>
  </si>
  <si>
    <t>综合</t>
  </si>
  <si>
    <t>综合</t>
    <phoneticPr fontId="134" type="noConversion"/>
  </si>
  <si>
    <t>面积</t>
    <phoneticPr fontId="134" type="noConversion"/>
  </si>
  <si>
    <t>总层数</t>
    <phoneticPr fontId="134" type="noConversion"/>
  </si>
  <si>
    <t>所在层数</t>
    <phoneticPr fontId="134" type="noConversion"/>
  </si>
  <si>
    <t>楼号或幢号</t>
    <phoneticPr fontId="134" type="noConversion"/>
  </si>
  <si>
    <t>1幢</t>
    <phoneticPr fontId="134" type="noConversion"/>
  </si>
  <si>
    <t>18（-02）</t>
    <phoneticPr fontId="134" type="noConversion"/>
  </si>
  <si>
    <t>部位及房号</t>
    <phoneticPr fontId="134" type="noConversion"/>
  </si>
  <si>
    <t>结构</t>
    <phoneticPr fontId="134" type="noConversion"/>
  </si>
  <si>
    <t>钢混</t>
  </si>
  <si>
    <t>钢混</t>
    <phoneticPr fontId="134" type="noConversion"/>
  </si>
  <si>
    <t>京（2018）朝不动产权第0132097号</t>
    <phoneticPr fontId="134" type="noConversion"/>
  </si>
  <si>
    <t>北京高合众智二十三号企业管理有限公司</t>
    <phoneticPr fontId="134" type="noConversion"/>
  </si>
  <si>
    <t>朝阳区东三环南路98号1幢12层1511</t>
    <phoneticPr fontId="134" type="noConversion"/>
  </si>
  <si>
    <t>北京高合众智二十七号企业管理有限公司</t>
    <phoneticPr fontId="134" type="noConversion"/>
  </si>
  <si>
    <t>朝阳区东三环南路98号1幢15层1805</t>
    <phoneticPr fontId="134" type="noConversion"/>
  </si>
  <si>
    <t>京（2018）朝不动产权第0133565号</t>
    <phoneticPr fontId="134" type="noConversion"/>
  </si>
  <si>
    <t>京（2018）朝不动产权第0131942号</t>
    <phoneticPr fontId="134" type="noConversion"/>
  </si>
  <si>
    <t>北京高合众智三十号企业管理有限公司</t>
    <phoneticPr fontId="134" type="noConversion"/>
  </si>
  <si>
    <t>朝阳区东三环南路98号1幢17层2006</t>
    <phoneticPr fontId="134" type="noConversion"/>
  </si>
  <si>
    <t>京（2018）朝不动产权第0131941号</t>
    <phoneticPr fontId="134" type="noConversion"/>
  </si>
  <si>
    <t>北京高合众智三十七号企业管理有限公司</t>
    <phoneticPr fontId="134" type="noConversion"/>
  </si>
  <si>
    <t>朝阳区东三环南路98号1幢17层2012</t>
    <phoneticPr fontId="134" type="noConversion"/>
  </si>
  <si>
    <t>企业</t>
  </si>
  <si>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</si>
  <si>
    <t>发票金额</t>
    <phoneticPr fontId="134" type="noConversion"/>
  </si>
  <si>
    <t>建成年代</t>
    <phoneticPr fontId="3" type="noConversion"/>
  </si>
  <si>
    <t>拿地时间</t>
    <phoneticPr fontId="3" type="noConversion"/>
  </si>
  <si>
    <t>根据产权方介绍得知</t>
    <phoneticPr fontId="3" type="noConversion"/>
  </si>
  <si>
    <t>直线</t>
    <phoneticPr fontId="3" type="noConversion"/>
  </si>
  <si>
    <t>观察</t>
    <phoneticPr fontId="3" type="noConversion"/>
  </si>
  <si>
    <t>综合</t>
    <phoneticPr fontId="3" type="noConversion"/>
  </si>
  <si>
    <t>综合</t>
    <phoneticPr fontId="6" type="noConversion"/>
  </si>
  <si>
    <t>否</t>
  </si>
  <si>
    <t>是</t>
  </si>
  <si>
    <t>地上</t>
  </si>
  <si>
    <t>单价</t>
    <phoneticPr fontId="134" type="noConversion"/>
  </si>
  <si>
    <t>收益法 (元)</t>
  </si>
  <si>
    <t>押一</t>
  </si>
  <si>
    <t>非生产用房</t>
  </si>
  <si>
    <t>高和蓝峰大厦</t>
    <phoneticPr fontId="3" type="noConversion"/>
  </si>
  <si>
    <t>单套模式</t>
  </si>
  <si>
    <t>售价</t>
  </si>
  <si>
    <t>正常</t>
  </si>
  <si>
    <t>综合</t>
    <phoneticPr fontId="31" type="noConversion"/>
  </si>
  <si>
    <t>一般</t>
  </si>
  <si>
    <t>较好</t>
  </si>
  <si>
    <t>六通</t>
  </si>
  <si>
    <t>七通</t>
  </si>
  <si>
    <t>高区</t>
  </si>
  <si>
    <t>高区</t>
    <phoneticPr fontId="134" type="noConversion"/>
  </si>
  <si>
    <t>中区</t>
  </si>
  <si>
    <t>中区</t>
    <phoneticPr fontId="134" type="noConversion"/>
  </si>
  <si>
    <t>低区</t>
  </si>
  <si>
    <t>低区</t>
    <phoneticPr fontId="134" type="noConversion"/>
  </si>
  <si>
    <r>
      <t>1</t>
    </r>
    <r>
      <rPr>
        <sz val="11"/>
        <color theme="1"/>
        <rFont val="宋体"/>
        <family val="3"/>
        <charset val="134"/>
        <scheme val="minor"/>
      </rPr>
      <t>3-18（含）</t>
    </r>
    <phoneticPr fontId="134" type="noConversion"/>
  </si>
  <si>
    <t>7-12（含）</t>
    <phoneticPr fontId="134" type="noConversion"/>
  </si>
  <si>
    <r>
      <t>1</t>
    </r>
    <r>
      <rPr>
        <sz val="11"/>
        <color theme="1"/>
        <rFont val="宋体"/>
        <family val="3"/>
        <charset val="134"/>
        <scheme val="minor"/>
      </rPr>
      <t>-6（含）</t>
    </r>
    <phoneticPr fontId="134" type="noConversion"/>
  </si>
  <si>
    <t>较差</t>
  </si>
  <si>
    <t>好</t>
  </si>
  <si>
    <t>与级别开发程度一致</t>
  </si>
  <si>
    <t>未包含在土地购买价格中</t>
  </si>
  <si>
    <t>已包含在土地取得成本中</t>
  </si>
  <si>
    <t>高和蓝峰大厦</t>
    <phoneticPr fontId="134" type="noConversion"/>
  </si>
  <si>
    <t>案例1</t>
    <phoneticPr fontId="134" type="noConversion"/>
  </si>
  <si>
    <t>案例2</t>
    <phoneticPr fontId="134" type="noConversion"/>
  </si>
  <si>
    <t>案例3</t>
    <phoneticPr fontId="134" type="noConversion"/>
  </si>
  <si>
    <t>低楼层</t>
    <phoneticPr fontId="134" type="noConversion"/>
  </si>
  <si>
    <t>中楼层</t>
    <phoneticPr fontId="134" type="noConversion"/>
  </si>
  <si>
    <t>精装</t>
    <phoneticPr fontId="134" type="noConversion"/>
  </si>
  <si>
    <t>简装</t>
    <phoneticPr fontId="134" type="noConversion"/>
  </si>
  <si>
    <t>面积</t>
    <phoneticPr fontId="134" type="noConversion"/>
  </si>
  <si>
    <t>单价</t>
    <phoneticPr fontId="134" type="noConversion"/>
  </si>
  <si>
    <t>楼层</t>
    <phoneticPr fontId="134" type="noConversion"/>
  </si>
  <si>
    <t>装修</t>
    <phoneticPr fontId="134" type="noConversion"/>
  </si>
  <si>
    <t>标准写字楼</t>
  </si>
  <si>
    <t>标准写字楼</t>
    <phoneticPr fontId="31" type="noConversion"/>
  </si>
  <si>
    <t>钢混</t>
    <phoneticPr fontId="31" type="noConversion"/>
  </si>
  <si>
    <t>专业</t>
  </si>
  <si>
    <t>专业</t>
    <phoneticPr fontId="31" type="noConversion"/>
  </si>
  <si>
    <t>七通</t>
    <phoneticPr fontId="31" type="noConversion"/>
  </si>
  <si>
    <t>六通</t>
    <phoneticPr fontId="31" type="noConversion"/>
  </si>
  <si>
    <t>五通</t>
    <phoneticPr fontId="31" type="noConversion"/>
  </si>
  <si>
    <t>超高层高</t>
  </si>
  <si>
    <t>超高层高</t>
    <phoneticPr fontId="31" type="noConversion"/>
  </si>
  <si>
    <t>标准层高</t>
  </si>
  <si>
    <t>标准层高</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</si>
  <si>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</si>
  <si>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</si>
  <si>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</si>
  <si>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</si>
  <si>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</si>
  <si>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</si>
  <si>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</si>
  <si>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挂牌价</t>
  </si>
  <si>
    <t>挂牌价</t>
    <phoneticPr fontId="31" type="noConversion"/>
  </si>
  <si>
    <t>高区</t>
    <phoneticPr fontId="31" type="noConversion"/>
  </si>
  <si>
    <t>中区</t>
    <phoneticPr fontId="31" type="noConversion"/>
  </si>
  <si>
    <t>低区</t>
    <phoneticPr fontId="31" type="noConversion"/>
  </si>
  <si>
    <t>售价</t>
    <phoneticPr fontId="134" type="noConversion"/>
  </si>
  <si>
    <t>租金</t>
  </si>
  <si>
    <t>租金</t>
    <phoneticPr fontId="134" type="noConversion"/>
  </si>
  <si>
    <t>比较法-办公</t>
  </si>
  <si>
    <t>链家中介</t>
    <phoneticPr fontId="134" type="noConversion"/>
  </si>
  <si>
    <t>楼面单价</t>
  </si>
  <si>
    <t>自定义</t>
  </si>
  <si>
    <t>楼层</t>
    <phoneticPr fontId="3" type="noConversion"/>
  </si>
  <si>
    <t>层高</t>
    <phoneticPr fontId="3" type="noConversion"/>
  </si>
  <si>
    <t>装修</t>
    <phoneticPr fontId="3" type="noConversion"/>
  </si>
  <si>
    <t>租赁合同</t>
    <phoneticPr fontId="134" type="noConversion"/>
  </si>
  <si>
    <r>
      <t>2</t>
    </r>
    <r>
      <rPr>
        <sz val="11"/>
        <color theme="1"/>
        <rFont val="宋体"/>
        <family val="3"/>
        <charset val="134"/>
        <scheme val="minor"/>
      </rPr>
      <t>024.4.20-2027.4.19</t>
    </r>
    <phoneticPr fontId="134" type="noConversion"/>
  </si>
  <si>
    <t>含税含物业费</t>
    <phoneticPr fontId="134" type="noConversion"/>
  </si>
  <si>
    <t>含税</t>
    <phoneticPr fontId="134" type="noConversion"/>
  </si>
  <si>
    <t>净租金</t>
    <phoneticPr fontId="134" type="noConversion"/>
  </si>
  <si>
    <t>房号</t>
    <phoneticPr fontId="134" type="noConversion"/>
  </si>
  <si>
    <t>租赁期限</t>
    <phoneticPr fontId="134" type="noConversion"/>
  </si>
  <si>
    <t>情况4</t>
  </si>
  <si>
    <t>转让取得</t>
  </si>
  <si>
    <t>非个人房产</t>
  </si>
  <si>
    <t>购房发票</t>
  </si>
  <si>
    <t>售价成交价在29000左右，租金报价大概4.5块左右</t>
    <phoneticPr fontId="134" type="noConversion"/>
  </si>
  <si>
    <t>净值总价</t>
    <phoneticPr fontId="8" type="noConversion"/>
  </si>
  <si>
    <t>净值单价</t>
    <phoneticPr fontId="8" type="noConversion"/>
  </si>
  <si>
    <t>净值总价</t>
    <phoneticPr fontId="24" type="noConversion"/>
  </si>
  <si>
    <t>净值单价</t>
    <phoneticPr fontId="24" type="noConversion"/>
  </si>
  <si>
    <t>2016年5月1日后购买</t>
  </si>
  <si>
    <r>
      <t>0-5</t>
    </r>
    <r>
      <rPr>
        <sz val="11"/>
        <rFont val="宋体"/>
        <family val="3"/>
        <charset val="134"/>
      </rPr>
      <t>（含）</t>
    </r>
  </si>
  <si>
    <r>
      <t>5-10</t>
    </r>
    <r>
      <rPr>
        <sz val="11"/>
        <rFont val="宋体"/>
        <family val="3"/>
        <charset val="134"/>
      </rPr>
      <t>（含）</t>
    </r>
  </si>
  <si>
    <r>
      <t>10-15</t>
    </r>
    <r>
      <rPr>
        <sz val="11"/>
        <rFont val="宋体"/>
        <family val="3"/>
        <charset val="134"/>
      </rPr>
      <t>（含）</t>
    </r>
  </si>
  <si>
    <r>
      <t>15-20</t>
    </r>
    <r>
      <rPr>
        <sz val="11"/>
        <rFont val="宋体"/>
        <family val="3"/>
        <charset val="134"/>
      </rPr>
      <t>（含）</t>
    </r>
  </si>
  <si>
    <r>
      <t>20-25</t>
    </r>
    <r>
      <rPr>
        <sz val="11"/>
        <rFont val="宋体"/>
        <family val="3"/>
        <charset val="134"/>
      </rPr>
      <t>（含）</t>
    </r>
  </si>
  <si>
    <r>
      <t>25-30</t>
    </r>
    <r>
      <rPr>
        <sz val="11"/>
        <rFont val="宋体"/>
        <family val="3"/>
        <charset val="134"/>
      </rPr>
      <t>（含）</t>
    </r>
  </si>
  <si>
    <r>
      <t>30-35</t>
    </r>
    <r>
      <rPr>
        <sz val="11"/>
        <rFont val="宋体"/>
        <family val="3"/>
        <charset val="134"/>
      </rPr>
      <t>（含）</t>
    </r>
  </si>
  <si>
    <r>
      <t>35-40</t>
    </r>
    <r>
      <rPr>
        <sz val="11"/>
        <rFont val="宋体"/>
        <family val="3"/>
        <charset val="134"/>
      </rPr>
      <t>（含）</t>
    </r>
  </si>
  <si>
    <r>
      <t>25-30</t>
    </r>
    <r>
      <rPr>
        <sz val="11"/>
        <rFont val="宋体"/>
        <family val="3"/>
        <charset val="134"/>
      </rPr>
      <t>（含）</t>
    </r>
    <phoneticPr fontId="31" type="noConversion"/>
  </si>
  <si>
    <t>总值</t>
    <phoneticPr fontId="134" type="noConversion"/>
  </si>
  <si>
    <t>税费</t>
    <phoneticPr fontId="134" type="noConversion"/>
  </si>
  <si>
    <t>净值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</si>
</sst>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bottom style="double">
        <color indexed="64"/>
      </bottom>
      <diagonal/>
    </border>
    <border>
      <left/>
      <right style="dotted">
        <color indexed="64"/>
      </right>
      <top/>
      <bottom style="double">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0" applyFont="1" applyAlignment="1">
      <alignment vertical="center" wrapText="1"/>
    </xf>
    <xf numFmtId="0" fontId="0" fillId="0" borderId="0" xfId="0" applyAlignment="1">
      <alignment vertical="center" wrapText="1"/>
    </xf>
    <xf numFmtId="49" fontId="270" fillId="12" borderId="4" xfId="0" applyNumberFormat="1" applyFont="1" applyFill="1" applyBorder="1" applyAlignment="1" applyProtection="1">
      <alignment horizontal="left" vertical="center"/>
      <protection locked="0"/>
    </xf>
    <xf numFmtId="0" fontId="95" fillId="5" borderId="0" xfId="0" applyFont="1" applyFill="1" applyAlignment="1">
      <alignment vertical="center" wrapText="1"/>
    </xf>
    <xf numFmtId="0" fontId="0" fillId="5" borderId="0" xfId="0" applyFill="1" applyAlignment="1">
      <alignment vertical="center" wrapText="1"/>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0" fillId="0" borderId="1" xfId="0" applyBorder="1" applyAlignment="1">
      <alignment vertical="center" wrapText="1"/>
    </xf>
    <xf numFmtId="0" fontId="128" fillId="0" borderId="51" xfId="0" applyFont="1" applyBorder="1" applyAlignment="1" applyProtection="1">
      <alignment horizontal="center" vertical="center" wrapText="1"/>
      <protection locked="0"/>
    </xf>
    <xf numFmtId="49" fontId="95" fillId="0" borderId="0" xfId="0" applyNumberFormat="1" applyFont="1" applyAlignment="1">
      <alignment vertical="center" wrapText="1"/>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47" fillId="8" borderId="13" xfId="0" applyFont="1" applyFill="1" applyBorder="1">
      <alignment vertical="center"/>
    </xf>
    <xf numFmtId="0" fontId="95" fillId="5" borderId="0" xfId="0" applyFont="1" applyFill="1">
      <alignment vertical="center"/>
    </xf>
    <xf numFmtId="0" fontId="0" fillId="5" borderId="0" xfId="0" applyFill="1">
      <alignment vertical="center"/>
    </xf>
    <xf numFmtId="0" fontId="95" fillId="5" borderId="1" xfId="0" applyFont="1" applyFill="1" applyBorder="1" applyAlignment="1">
      <alignment vertical="center" wrapText="1"/>
    </xf>
    <xf numFmtId="0" fontId="0" fillId="5" borderId="1" xfId="0" applyFill="1" applyBorder="1" applyAlignment="1">
      <alignment vertical="center" wrapText="1"/>
    </xf>
    <xf numFmtId="0" fontId="77" fillId="6" borderId="0" xfId="0" applyFont="1" applyFill="1" applyProtection="1">
      <alignment vertical="center"/>
      <protection locked="0"/>
    </xf>
    <xf numFmtId="0" fontId="113" fillId="6" borderId="60" xfId="0" applyFont="1" applyFill="1" applyBorder="1" applyAlignment="1">
      <alignment horizontal="left" vertical="center" wrapText="1"/>
    </xf>
    <xf numFmtId="0" fontId="129" fillId="0" borderId="0" xfId="0" applyFont="1" applyProtection="1">
      <alignment vertical="center"/>
      <protection locked="0"/>
    </xf>
    <xf numFmtId="0" fontId="113" fillId="0" borderId="0" xfId="0" applyFont="1" applyProtection="1">
      <alignment vertical="center"/>
      <protection locked="0"/>
    </xf>
    <xf numFmtId="0" fontId="53" fillId="22" borderId="1" xfId="0" applyFont="1" applyFill="1" applyBorder="1" applyAlignment="1" applyProtection="1">
      <alignment horizontal="left" vertical="center" wrapText="1"/>
      <protection locked="0"/>
    </xf>
    <xf numFmtId="0" fontId="51" fillId="0" borderId="44" xfId="10" applyFont="1" applyBorder="1" applyAlignment="1" applyProtection="1">
      <alignment horizontal="center" vertical="center" wrapText="1"/>
      <protection locked="0"/>
    </xf>
    <xf numFmtId="58" fontId="51" fillId="0" borderId="44" xfId="10" applyNumberFormat="1"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39" fillId="8" borderId="1" xfId="0" applyFont="1" applyFill="1" applyBorder="1" applyAlignment="1">
      <alignment horizontal="center" vertical="center" wrapText="1"/>
    </xf>
    <xf numFmtId="0" fontId="139"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13" xfId="0" applyFill="1" applyBorder="1" applyAlignment="1">
      <alignment horizontal="center" vertical="center" wrapText="1"/>
    </xf>
    <xf numFmtId="0" fontId="0" fillId="5" borderId="2" xfId="0" applyFill="1" applyBorder="1" applyAlignment="1">
      <alignment horizontal="center" vertical="center" wrapText="1"/>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95" fillId="0" borderId="13" xfId="0" applyFont="1" applyBorder="1" applyAlignment="1">
      <alignment horizontal="center" vertical="center" wrapText="1"/>
    </xf>
    <xf numFmtId="0" fontId="95" fillId="0" borderId="2" xfId="0" applyFont="1" applyBorder="1" applyAlignment="1">
      <alignment horizontal="center" vertical="center" wrapText="1"/>
    </xf>
    <xf numFmtId="14" fontId="0" fillId="0" borderId="13" xfId="0" applyNumberFormat="1" applyBorder="1" applyAlignment="1">
      <alignment horizontal="center" vertical="center" wrapText="1"/>
    </xf>
    <xf numFmtId="14" fontId="0" fillId="0" borderId="2" xfId="0" applyNumberFormat="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66" fillId="0" borderId="176" xfId="0" applyFont="1" applyBorder="1" applyAlignment="1">
      <alignment horizontal="justify" vertical="center" wrapText="1"/>
    </xf>
    <xf numFmtId="0" fontId="266" fillId="0" borderId="177" xfId="0" applyFont="1" applyBorder="1" applyAlignment="1">
      <alignment horizontal="justify" vertical="center" wrapText="1"/>
    </xf>
    <xf numFmtId="0" fontId="266" fillId="0" borderId="178" xfId="0" applyFont="1" applyBorder="1" applyAlignment="1">
      <alignment horizontal="justify" vertical="center" wrapText="1"/>
    </xf>
    <xf numFmtId="0" fontId="266" fillId="0" borderId="179" xfId="0" applyFont="1" applyBorder="1" applyAlignment="1">
      <alignment horizontal="justify" vertical="center" wrapText="1"/>
    </xf>
    <xf numFmtId="0" fontId="266" fillId="0" borderId="180" xfId="0" applyFont="1" applyBorder="1" applyAlignment="1">
      <alignment horizontal="justify"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1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22</xdr:col>
      <xdr:colOff>247086</xdr:colOff>
      <xdr:row>28</xdr:row>
      <xdr:rowOff>52716</xdr:rowOff>
    </xdr:to>
    <xdr:pic>
      <xdr:nvPicPr>
        <xdr:cNvPr id="3" name="图片 2">
          <a:extLst>
            <a:ext uri="{FF2B5EF4-FFF2-40B4-BE49-F238E27FC236}">
              <a16:creationId xmlns:a16="http://schemas.microsoft.com/office/drawing/2014/main" id="{2DDABDDC-6042-FC16-A9B5-978CD3710176}"/>
            </a:ext>
          </a:extLst>
        </xdr:cNvPr>
        <xdr:cNvPicPr>
          <a:picLocks noChangeAspect="1"/>
        </xdr:cNvPicPr>
      </xdr:nvPicPr>
      <xdr:blipFill>
        <a:blip xmlns:r="http://schemas.openxmlformats.org/officeDocument/2006/relationships" r:embed="rId1"/>
        <a:stretch>
          <a:fillRect/>
        </a:stretch>
      </xdr:blipFill>
      <xdr:spPr>
        <a:xfrm>
          <a:off x="9144000" y="182880"/>
          <a:ext cx="4514286" cy="4990476"/>
        </a:xfrm>
        <a:prstGeom prst="rect">
          <a:avLst/>
        </a:prstGeom>
      </xdr:spPr>
    </xdr:pic>
    <xdr:clientData/>
  </xdr:twoCellAnchor>
  <xdr:twoCellAnchor editAs="oneCell">
    <xdr:from>
      <xdr:col>0</xdr:col>
      <xdr:colOff>0</xdr:colOff>
      <xdr:row>51</xdr:row>
      <xdr:rowOff>0</xdr:rowOff>
    </xdr:from>
    <xdr:to>
      <xdr:col>10</xdr:col>
      <xdr:colOff>313495</xdr:colOff>
      <xdr:row>92</xdr:row>
      <xdr:rowOff>63825</xdr:rowOff>
    </xdr:to>
    <xdr:pic>
      <xdr:nvPicPr>
        <xdr:cNvPr id="4" name="图片 3">
          <a:extLst>
            <a:ext uri="{FF2B5EF4-FFF2-40B4-BE49-F238E27FC236}">
              <a16:creationId xmlns:a16="http://schemas.microsoft.com/office/drawing/2014/main" id="{B3E69BD4-5F90-489D-E026-4C6E994269D4}"/>
            </a:ext>
          </a:extLst>
        </xdr:cNvPr>
        <xdr:cNvPicPr>
          <a:picLocks noChangeAspect="1"/>
        </xdr:cNvPicPr>
      </xdr:nvPicPr>
      <xdr:blipFill>
        <a:blip xmlns:r="http://schemas.openxmlformats.org/officeDocument/2006/relationships" r:embed="rId2"/>
        <a:stretch>
          <a:fillRect/>
        </a:stretch>
      </xdr:blipFill>
      <xdr:spPr>
        <a:xfrm>
          <a:off x="0" y="8412480"/>
          <a:ext cx="6638095" cy="7561905"/>
        </a:xfrm>
        <a:prstGeom prst="rect">
          <a:avLst/>
        </a:prstGeom>
      </xdr:spPr>
    </xdr:pic>
    <xdr:clientData/>
  </xdr:twoCellAnchor>
  <xdr:twoCellAnchor editAs="oneCell">
    <xdr:from>
      <xdr:col>0</xdr:col>
      <xdr:colOff>129541</xdr:colOff>
      <xdr:row>92</xdr:row>
      <xdr:rowOff>166362</xdr:rowOff>
    </xdr:from>
    <xdr:to>
      <xdr:col>10</xdr:col>
      <xdr:colOff>160021</xdr:colOff>
      <xdr:row>108</xdr:row>
      <xdr:rowOff>117721</xdr:rowOff>
    </xdr:to>
    <xdr:pic>
      <xdr:nvPicPr>
        <xdr:cNvPr id="5" name="图片 4">
          <a:extLst>
            <a:ext uri="{FF2B5EF4-FFF2-40B4-BE49-F238E27FC236}">
              <a16:creationId xmlns:a16="http://schemas.microsoft.com/office/drawing/2014/main" id="{EAF6E1D8-F4D8-F485-0815-83748F3B6D79}"/>
            </a:ext>
          </a:extLst>
        </xdr:cNvPr>
        <xdr:cNvPicPr>
          <a:picLocks noChangeAspect="1"/>
        </xdr:cNvPicPr>
      </xdr:nvPicPr>
      <xdr:blipFill>
        <a:blip xmlns:r="http://schemas.openxmlformats.org/officeDocument/2006/relationships" r:embed="rId3"/>
        <a:stretch>
          <a:fillRect/>
        </a:stretch>
      </xdr:blipFill>
      <xdr:spPr>
        <a:xfrm>
          <a:off x="129541" y="16076922"/>
          <a:ext cx="6355080" cy="2877439"/>
        </a:xfrm>
        <a:prstGeom prst="rect">
          <a:avLst/>
        </a:prstGeom>
      </xdr:spPr>
    </xdr:pic>
    <xdr:clientData/>
  </xdr:twoCellAnchor>
  <xdr:twoCellAnchor editAs="oneCell">
    <xdr:from>
      <xdr:col>0</xdr:col>
      <xdr:colOff>0</xdr:colOff>
      <xdr:row>15</xdr:row>
      <xdr:rowOff>79368</xdr:rowOff>
    </xdr:from>
    <xdr:to>
      <xdr:col>8</xdr:col>
      <xdr:colOff>416029</xdr:colOff>
      <xdr:row>30</xdr:row>
      <xdr:rowOff>71788</xdr:rowOff>
    </xdr:to>
    <xdr:pic>
      <xdr:nvPicPr>
        <xdr:cNvPr id="6" name="图片 5">
          <a:extLst>
            <a:ext uri="{FF2B5EF4-FFF2-40B4-BE49-F238E27FC236}">
              <a16:creationId xmlns:a16="http://schemas.microsoft.com/office/drawing/2014/main" id="{87BF6518-3268-3BF6-EE5B-8FAFA43DF89B}"/>
            </a:ext>
          </a:extLst>
        </xdr:cNvPr>
        <xdr:cNvPicPr>
          <a:picLocks noChangeAspect="1"/>
        </xdr:cNvPicPr>
      </xdr:nvPicPr>
      <xdr:blipFill>
        <a:blip xmlns:r="http://schemas.openxmlformats.org/officeDocument/2006/relationships" r:embed="rId4"/>
        <a:stretch>
          <a:fillRect/>
        </a:stretch>
      </xdr:blipFill>
      <xdr:spPr>
        <a:xfrm>
          <a:off x="0" y="2822568"/>
          <a:ext cx="5292829" cy="2735620"/>
        </a:xfrm>
        <a:prstGeom prst="rect">
          <a:avLst/>
        </a:prstGeom>
      </xdr:spPr>
    </xdr:pic>
    <xdr:clientData/>
  </xdr:twoCellAnchor>
  <xdr:twoCellAnchor editAs="oneCell">
    <xdr:from>
      <xdr:col>0</xdr:col>
      <xdr:colOff>251460</xdr:colOff>
      <xdr:row>29</xdr:row>
      <xdr:rowOff>160019</xdr:rowOff>
    </xdr:from>
    <xdr:to>
      <xdr:col>9</xdr:col>
      <xdr:colOff>22860</xdr:colOff>
      <xdr:row>47</xdr:row>
      <xdr:rowOff>57358</xdr:rowOff>
    </xdr:to>
    <xdr:pic>
      <xdr:nvPicPr>
        <xdr:cNvPr id="7" name="图片 6">
          <a:extLst>
            <a:ext uri="{FF2B5EF4-FFF2-40B4-BE49-F238E27FC236}">
              <a16:creationId xmlns:a16="http://schemas.microsoft.com/office/drawing/2014/main" id="{6BEC0CF7-8EED-8D32-C4FC-9BC83BE02509}"/>
            </a:ext>
          </a:extLst>
        </xdr:cNvPr>
        <xdr:cNvPicPr>
          <a:picLocks noChangeAspect="1"/>
        </xdr:cNvPicPr>
      </xdr:nvPicPr>
      <xdr:blipFill>
        <a:blip xmlns:r="http://schemas.openxmlformats.org/officeDocument/2006/relationships" r:embed="rId5"/>
        <a:stretch>
          <a:fillRect/>
        </a:stretch>
      </xdr:blipFill>
      <xdr:spPr>
        <a:xfrm>
          <a:off x="251460" y="5463539"/>
          <a:ext cx="5257800" cy="3189179"/>
        </a:xfrm>
        <a:prstGeom prst="rect">
          <a:avLst/>
        </a:prstGeom>
      </xdr:spPr>
    </xdr:pic>
    <xdr:clientData/>
  </xdr:twoCellAnchor>
  <xdr:twoCellAnchor editAs="oneCell">
    <xdr:from>
      <xdr:col>0</xdr:col>
      <xdr:colOff>0</xdr:colOff>
      <xdr:row>0</xdr:row>
      <xdr:rowOff>22860</xdr:rowOff>
    </xdr:from>
    <xdr:to>
      <xdr:col>8</xdr:col>
      <xdr:colOff>98791</xdr:colOff>
      <xdr:row>15</xdr:row>
      <xdr:rowOff>73801</xdr:rowOff>
    </xdr:to>
    <xdr:pic>
      <xdr:nvPicPr>
        <xdr:cNvPr id="8" name="图片 7">
          <a:extLst>
            <a:ext uri="{FF2B5EF4-FFF2-40B4-BE49-F238E27FC236}">
              <a16:creationId xmlns:a16="http://schemas.microsoft.com/office/drawing/2014/main" id="{03631547-64AB-781C-A08F-CCAE43A741AF}"/>
            </a:ext>
          </a:extLst>
        </xdr:cNvPr>
        <xdr:cNvPicPr>
          <a:picLocks noChangeAspect="1"/>
        </xdr:cNvPicPr>
      </xdr:nvPicPr>
      <xdr:blipFill>
        <a:blip xmlns:r="http://schemas.openxmlformats.org/officeDocument/2006/relationships" r:embed="rId6"/>
        <a:stretch>
          <a:fillRect/>
        </a:stretch>
      </xdr:blipFill>
      <xdr:spPr>
        <a:xfrm>
          <a:off x="0" y="22860"/>
          <a:ext cx="4975591" cy="27941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北京市朝阳区东三环南路98号1幢房地产抵押价值预评估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受贵公司委托，我公司对北京市朝阳区东三环南路98号1幢房地产抵押价值进行了预评估。</v>
      </c>
    </row>
    <row r="7" spans="1:2">
      <c r="A7" s="1119" t="s">
        <v>566</v>
      </c>
      <c r="B7" s="1120" t="str">
        <f>'预评函-1'!A7</f>
        <v>估价对象为北京市朝阳区东三环南路98号1幢房地产，为所有。根据《国有土地使用证》[]，估价对象（分摊）出让国有建设用地使用权面积为0平方米，建筑面积为179.5平方米。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东三环南路98号1幢房地产,属开发建设的办公项目，该项目尚在开发建设中。根据《国有土地使用证》[]，估价对象（分摊）出让国有建设用地使用权面积为0平方米，规划建筑面积为179.5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东三环南路98号1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2024年12月23日（评估专业人员实地查勘之日）</v>
      </c>
    </row>
    <row r="13" spans="1:2">
      <c r="A13" s="1119" t="s">
        <v>529</v>
      </c>
      <c r="B13" s="1120" t="str">
        <f>'预评函-1'!A18</f>
        <v>本次估价的“房地产价值”是指在正常市场情况下，在价值时点2024年12月23日，估价对象规划用途为综合，土地取得方式为出让，出让国有建设用地使用权剩余土地使用年限为28，假定未设立法定优先受偿款下的房地产市场价值。</v>
      </c>
    </row>
    <row r="14" spans="1:2">
      <c r="A14" s="1119" t="s">
        <v>530</v>
      </c>
      <c r="B14" s="1120" t="str">
        <f>'预评函-1'!A19</f>
        <v>其中，“出让国有建设用地使用权价值”是指估价对象用途为综合，实际开发程度为宗地红线外“七通”（即、、、、、、）、红线内场地平整条件下，剩余土地使用年限为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508</v>
      </c>
    </row>
    <row r="21" spans="1:2">
      <c r="A21" s="1119" t="s">
        <v>537</v>
      </c>
      <c r="B21" s="1120">
        <f ca="1">'预评函-2'!D7</f>
        <v>28279</v>
      </c>
    </row>
    <row r="22" spans="1:2">
      <c r="A22" s="1119" t="s">
        <v>538</v>
      </c>
      <c r="B22" s="1120" t="str">
        <f ca="1">'预评函-2'!D6</f>
        <v>伍佰零捌万元整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508</v>
      </c>
    </row>
    <row r="31" spans="1:2">
      <c r="A31" s="1119" t="s">
        <v>576</v>
      </c>
      <c r="B31" s="1120">
        <f ca="1">'预评函-2'!D15</f>
        <v>28279</v>
      </c>
    </row>
    <row r="32" spans="1:2">
      <c r="A32" s="1119" t="s">
        <v>543</v>
      </c>
      <c r="B32" s="1120" t="str">
        <f ca="1">'预评函-2'!D14</f>
        <v>伍佰零捌万元整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2619</v>
      </c>
    </row>
    <row r="39" spans="1:2">
      <c r="A39" s="1119" t="s">
        <v>545</v>
      </c>
      <c r="B39" s="1120">
        <f ca="1">'预评函-2'!D21</f>
        <v>29323</v>
      </c>
    </row>
    <row r="40" spans="1:2">
      <c r="A40" s="1119" t="s">
        <v>546</v>
      </c>
      <c r="B40" s="1120" t="str">
        <f ca="1">'预评函-2'!D20</f>
        <v>贰仟陆佰壹拾玖万元整</v>
      </c>
    </row>
    <row r="41" spans="1:2">
      <c r="A41" s="1119" t="s">
        <v>592</v>
      </c>
      <c r="B41" s="1120" t="str">
        <f>'预评函-3'!A4</f>
        <v>北京市朝阳区东三环南路98号1幢房地产</v>
      </c>
    </row>
    <row r="42" spans="1:2" ht="31.2">
      <c r="A42" s="1119" t="s">
        <v>590</v>
      </c>
      <c r="B42" s="1120" t="str">
        <f>'预评函-3'!B2</f>
        <v>建筑面积</v>
      </c>
    </row>
    <row r="43" spans="1:2">
      <c r="A43" s="1119" t="s">
        <v>591</v>
      </c>
      <c r="B43" s="1120">
        <f>'预评函-3'!B4</f>
        <v>179.5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2576</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2577</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2290</v>
      </c>
      <c r="C17" s="1441"/>
    </row>
    <row r="18" spans="1:3">
      <c r="A18" s="1440" t="s">
        <v>1046</v>
      </c>
      <c r="B18" s="1440" t="s">
        <v>2432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23日，估价对象规划用途为综合土地取得方式为出让，出让国有建设用地使用权剩余土地使用年限为XX年(多用途剩余年限尾数不同时，可只体现小数点后一位)，假定未设立法定优先受偿款下的房地产市场价值。</v>
      </c>
    </row>
    <row r="54" spans="1:4">
      <c r="A54" s="3212"/>
      <c r="B54" s="1446" t="s">
        <v>385</v>
      </c>
      <c r="C54" s="1444" t="s">
        <v>583</v>
      </c>
    </row>
    <row r="55" spans="1:4">
      <c r="A55" s="3212"/>
      <c r="B55" s="1446" t="s">
        <v>386</v>
      </c>
      <c r="C55" s="1444" t="s">
        <v>584</v>
      </c>
    </row>
    <row r="56" spans="1:4">
      <c r="A56" s="3212"/>
      <c r="B56" s="1446" t="s">
        <v>387</v>
      </c>
      <c r="C56" s="1444" t="s">
        <v>588</v>
      </c>
    </row>
    <row r="57" spans="1:4">
      <c r="A57" s="321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13" t="s">
        <v>2579</v>
      </c>
      <c r="J2" s="3213"/>
      <c r="K2" s="3213"/>
      <c r="L2" s="3213"/>
      <c r="M2" s="3213"/>
      <c r="N2" s="3213"/>
      <c r="O2" s="3213"/>
      <c r="P2" s="3213"/>
      <c r="Q2" s="3213"/>
      <c r="R2" s="3213"/>
    </row>
    <row r="3" spans="1:18">
      <c r="A3" s="2760" t="s">
        <v>2500</v>
      </c>
      <c r="B3" s="2761">
        <f>项目基本情况!D3</f>
        <v>45649</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1.98</v>
      </c>
      <c r="D5" s="2765">
        <f>IF(ISERROR(ROUND(POWER(1+E5,A5-C5)*(POWER(1+E5,C5)-1)/(POWER(1+E5,A5)-1),3)),0,ROUND(POWER(1+E5,A5-C5)*(POWER(1+E5,C5)-1)/(POWER(1+E5,A5)-1),4))</f>
        <v>9.4399999999999998E-2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11.99</v>
      </c>
      <c r="D6" s="2765">
        <f>IF(ISERROR(ROUND(POWER(1+E6,A6-C6)*(POWER(1+E6,C6)-1)/(POWER(1+E6,A6)-1),3)),0,ROUND(POWER(1+E6,A6-C6)*(POWER(1+E6,C6)-1)/(POWER(1+E6,A6)-1),4))</f>
        <v>0.43659999999999999</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32.01</v>
      </c>
      <c r="D7" s="2765">
        <f>IF(ISERROR(ROUND(POWER(1+E7,A7-C7)*(POWER(1+E7,C7)-1)/(POWER(1+E7,A7)-1),3)),0,ROUND(POWER(1+E7,A7-C7)*(POWER(1+E7,C7)-1)/(POWER(1+E7,A7)-1),4))</f>
        <v>0.7641</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3">
      <c r="A17" s="2760" t="s">
        <v>2516</v>
      </c>
      <c r="B17" s="2768">
        <v>4810</v>
      </c>
      <c r="C17" s="2762"/>
      <c r="D17" s="2758"/>
      <c r="E17" s="2758"/>
      <c r="F17" s="2759"/>
    </row>
    <row r="18" spans="1:13" ht="15" thickBot="1">
      <c r="A18" s="2770" t="s">
        <v>2515</v>
      </c>
      <c r="B18" s="2771">
        <f>ROUND(B17*F11/F12,2)</f>
        <v>5541.87</v>
      </c>
      <c r="C18" s="2771">
        <f>ROUND(F11/F12,4)</f>
        <v>1.1521999999999999</v>
      </c>
      <c r="D18" s="2772"/>
      <c r="E18" s="2772"/>
      <c r="F18" s="2773"/>
    </row>
    <row r="19" spans="1:13" ht="15" thickBot="1"/>
    <row r="20" spans="1:13" s="2806" customFormat="1" ht="15" thickTop="1">
      <c r="A20" s="2803" t="s">
        <v>2518</v>
      </c>
      <c r="B20" s="2804"/>
      <c r="C20" s="2804"/>
      <c r="D20" s="2804"/>
      <c r="E20" s="2804"/>
      <c r="F20" s="2804"/>
      <c r="G20" s="2805"/>
      <c r="I20" s="2807" t="s">
        <v>2563</v>
      </c>
      <c r="J20" s="2807" t="s">
        <v>2568</v>
      </c>
      <c r="K20" s="2807"/>
      <c r="L20" s="2807"/>
      <c r="M20" s="2807"/>
    </row>
    <row r="21" spans="1:13">
      <c r="A21" s="2774"/>
      <c r="B21" s="2775" t="s">
        <v>2519</v>
      </c>
      <c r="C21" s="2775" t="s">
        <v>2520</v>
      </c>
      <c r="D21" s="2775" t="s">
        <v>2521</v>
      </c>
      <c r="E21" s="2775" t="s">
        <v>2522</v>
      </c>
      <c r="F21" s="2775" t="s">
        <v>2523</v>
      </c>
      <c r="G21" s="2776" t="s">
        <v>2524</v>
      </c>
      <c r="I21" s="2797">
        <v>5</v>
      </c>
      <c r="J21" s="2797">
        <v>54.2</v>
      </c>
    </row>
    <row r="22" spans="1:13">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M23" s="2797" t="s">
        <v>2567</v>
      </c>
    </row>
    <row r="24" spans="1:13">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M24" s="2797">
        <v>10</v>
      </c>
    </row>
    <row r="25" spans="1:13">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M25" s="2797">
        <v>8</v>
      </c>
    </row>
    <row r="26" spans="1:13">
      <c r="A26" s="2779"/>
      <c r="B26" s="2780"/>
      <c r="C26" s="2780"/>
      <c r="D26" s="2780"/>
      <c r="E26" s="2780"/>
      <c r="F26" s="2780"/>
      <c r="G26" s="2781"/>
      <c r="I26" s="2797">
        <v>30</v>
      </c>
      <c r="J26" s="2797">
        <v>90.5</v>
      </c>
      <c r="K26" s="2797">
        <f t="shared" si="2"/>
        <v>4.2000000000000028</v>
      </c>
      <c r="L26" s="2797" t="s">
        <v>2570</v>
      </c>
      <c r="M26" s="2797">
        <v>5</v>
      </c>
    </row>
    <row r="27" spans="1:13">
      <c r="A27" s="2779" t="s">
        <v>2529</v>
      </c>
      <c r="B27" s="2780"/>
      <c r="C27" s="2780"/>
      <c r="D27" s="2780"/>
      <c r="E27" s="2780"/>
      <c r="F27" s="2780"/>
      <c r="G27" s="2781"/>
      <c r="I27" s="2797">
        <v>35</v>
      </c>
      <c r="J27" s="2797">
        <v>93.8</v>
      </c>
      <c r="K27" s="2797">
        <f t="shared" si="2"/>
        <v>3.2999999999999972</v>
      </c>
      <c r="L27" s="2797" t="s">
        <v>2571</v>
      </c>
      <c r="M27" s="2797">
        <v>3</v>
      </c>
    </row>
    <row r="28" spans="1:13">
      <c r="A28" s="2779" t="s">
        <v>2530</v>
      </c>
      <c r="B28" s="2780"/>
      <c r="C28" s="2780"/>
      <c r="D28" s="2780"/>
      <c r="E28" s="2780"/>
      <c r="F28" s="2780"/>
      <c r="G28" s="2781"/>
      <c r="I28" s="2797">
        <v>40</v>
      </c>
      <c r="J28" s="2797">
        <v>96.4</v>
      </c>
      <c r="K28" s="2797">
        <f t="shared" si="2"/>
        <v>2.6000000000000085</v>
      </c>
      <c r="L28" s="2797" t="s">
        <v>2572</v>
      </c>
      <c r="M28" s="2797">
        <v>2</v>
      </c>
    </row>
    <row r="29" spans="1:13">
      <c r="A29" s="2779" t="s">
        <v>2531</v>
      </c>
      <c r="B29" s="2780"/>
      <c r="C29" s="2780"/>
      <c r="D29" s="2780"/>
      <c r="E29" s="2780"/>
      <c r="F29" s="2780"/>
      <c r="G29" s="2781"/>
      <c r="I29" s="2797">
        <v>45</v>
      </c>
      <c r="J29" s="2797">
        <v>98.4</v>
      </c>
      <c r="K29" s="2797">
        <f t="shared" si="2"/>
        <v>2</v>
      </c>
    </row>
    <row r="30" spans="1:13">
      <c r="A30" s="2779" t="s">
        <v>2532</v>
      </c>
      <c r="B30" s="2780"/>
      <c r="C30" s="2780"/>
      <c r="D30" s="2780"/>
      <c r="E30" s="2780"/>
      <c r="F30" s="2780"/>
      <c r="G30" s="2781"/>
      <c r="I30" s="2797">
        <v>50</v>
      </c>
      <c r="J30" s="2797">
        <v>100</v>
      </c>
      <c r="K30" s="2797">
        <f t="shared" si="2"/>
        <v>1.5999999999999943</v>
      </c>
    </row>
    <row r="31" spans="1:13">
      <c r="A31" s="2779" t="s">
        <v>2533</v>
      </c>
      <c r="B31" s="2780"/>
      <c r="C31" s="2780"/>
      <c r="D31" s="2780"/>
      <c r="E31" s="2780"/>
      <c r="F31" s="2780"/>
      <c r="G31" s="2781"/>
      <c r="I31" s="2797" t="s">
        <v>2564</v>
      </c>
    </row>
    <row r="32" spans="1:13">
      <c r="A32" s="2779" t="s">
        <v>2534</v>
      </c>
      <c r="B32" s="2780"/>
      <c r="C32" s="2780"/>
      <c r="D32" s="2780"/>
      <c r="E32" s="2780"/>
      <c r="F32" s="2780"/>
      <c r="G32" s="2781"/>
    </row>
    <row r="33" spans="1:13">
      <c r="A33" s="2779" t="s">
        <v>2535</v>
      </c>
      <c r="B33" s="2780"/>
      <c r="C33" s="2780"/>
      <c r="D33" s="2780"/>
      <c r="E33" s="2780"/>
      <c r="F33" s="2780"/>
      <c r="G33" s="2781"/>
      <c r="I33" s="2797" t="s">
        <v>2563</v>
      </c>
      <c r="J33" s="2797" t="s">
        <v>2573</v>
      </c>
    </row>
    <row r="34" spans="1:13">
      <c r="A34" s="2779" t="s">
        <v>2536</v>
      </c>
      <c r="B34" s="2780"/>
      <c r="C34" s="2780"/>
      <c r="D34" s="2780"/>
      <c r="E34" s="2780"/>
      <c r="F34" s="2780"/>
      <c r="G34" s="2781"/>
      <c r="I34" s="2797">
        <v>5</v>
      </c>
      <c r="J34" s="2797">
        <v>55.1</v>
      </c>
    </row>
    <row r="35" spans="1:13">
      <c r="A35" s="2779" t="s">
        <v>2537</v>
      </c>
      <c r="B35" s="2780"/>
      <c r="C35" s="2780"/>
      <c r="D35" s="2780"/>
      <c r="E35" s="2780"/>
      <c r="F35" s="2780"/>
      <c r="G35" s="2781"/>
      <c r="I35" s="2797">
        <v>10</v>
      </c>
      <c r="J35" s="2797">
        <v>67</v>
      </c>
      <c r="K35" s="2797">
        <f>J35-J34</f>
        <v>11.899999999999999</v>
      </c>
    </row>
    <row r="36" spans="1:13">
      <c r="A36" s="2779" t="s">
        <v>2538</v>
      </c>
      <c r="B36" s="2780"/>
      <c r="C36" s="2780"/>
      <c r="D36" s="2780"/>
      <c r="E36" s="2780"/>
      <c r="F36" s="2780"/>
      <c r="G36" s="2781"/>
      <c r="I36" s="2797">
        <v>15</v>
      </c>
      <c r="J36" s="2797">
        <v>76.3</v>
      </c>
      <c r="K36" s="2797">
        <f t="shared" ref="K36:K41" si="3">J36-J35</f>
        <v>9.2999999999999972</v>
      </c>
      <c r="L36" s="2797" t="s">
        <v>2566</v>
      </c>
      <c r="M36" s="2797" t="s">
        <v>2567</v>
      </c>
    </row>
    <row r="37" spans="1:13">
      <c r="A37" s="2779" t="s">
        <v>2539</v>
      </c>
      <c r="B37" s="2780"/>
      <c r="C37" s="2780"/>
      <c r="D37" s="2780"/>
      <c r="E37" s="2780"/>
      <c r="F37" s="2780"/>
      <c r="G37" s="2781"/>
      <c r="I37" s="2797">
        <v>20</v>
      </c>
      <c r="J37" s="2797">
        <v>83.6</v>
      </c>
      <c r="K37" s="2797">
        <f t="shared" si="3"/>
        <v>7.2999999999999972</v>
      </c>
      <c r="L37" s="2797" t="s">
        <v>2565</v>
      </c>
      <c r="M37" s="2797">
        <v>10</v>
      </c>
    </row>
    <row r="38" spans="1:13">
      <c r="A38" s="2779" t="s">
        <v>2540</v>
      </c>
      <c r="B38" s="2780"/>
      <c r="C38" s="2780"/>
      <c r="D38" s="2780"/>
      <c r="E38" s="2780"/>
      <c r="F38" s="2780"/>
      <c r="G38" s="2781"/>
      <c r="I38" s="2797">
        <v>25</v>
      </c>
      <c r="J38" s="2797">
        <v>89.3</v>
      </c>
      <c r="K38" s="2797">
        <f t="shared" si="3"/>
        <v>5.7000000000000028</v>
      </c>
      <c r="L38" s="2797" t="s">
        <v>2569</v>
      </c>
      <c r="M38" s="2797">
        <v>8</v>
      </c>
    </row>
    <row r="39" spans="1:13">
      <c r="A39" s="2779"/>
      <c r="B39" s="2780"/>
      <c r="C39" s="2780"/>
      <c r="D39" s="2780"/>
      <c r="E39" s="2780"/>
      <c r="F39" s="2780"/>
      <c r="G39" s="2781"/>
      <c r="I39" s="2797">
        <v>30</v>
      </c>
      <c r="J39" s="2797">
        <v>93.8</v>
      </c>
      <c r="K39" s="2797">
        <f t="shared" si="3"/>
        <v>4.5</v>
      </c>
      <c r="L39" s="2797" t="s">
        <v>2570</v>
      </c>
      <c r="M39" s="2797">
        <v>6</v>
      </c>
    </row>
    <row r="40" spans="1:13">
      <c r="A40" s="2782" t="s">
        <v>2541</v>
      </c>
      <c r="B40" s="2783"/>
      <c r="C40" s="2783"/>
      <c r="D40" s="2783"/>
      <c r="E40" s="2783"/>
      <c r="F40" s="2783"/>
      <c r="G40" s="2784"/>
      <c r="I40" s="2797">
        <v>35</v>
      </c>
      <c r="J40" s="2797">
        <v>97.2</v>
      </c>
      <c r="K40" s="2797">
        <f t="shared" si="3"/>
        <v>3.4000000000000057</v>
      </c>
      <c r="L40" s="2797" t="s">
        <v>2571</v>
      </c>
      <c r="M40" s="2797">
        <v>3</v>
      </c>
    </row>
    <row r="41" spans="1:13">
      <c r="A41" s="2785" t="s">
        <v>2542</v>
      </c>
      <c r="B41" s="2786" t="s">
        <v>2543</v>
      </c>
      <c r="C41" s="2787" t="s">
        <v>2544</v>
      </c>
      <c r="D41" s="2787" t="s">
        <v>2545</v>
      </c>
      <c r="E41" s="2788"/>
      <c r="F41" s="2789"/>
      <c r="G41" s="2790"/>
      <c r="I41" s="2797">
        <v>40</v>
      </c>
      <c r="J41" s="2797">
        <v>100</v>
      </c>
      <c r="K41" s="2797">
        <f t="shared" si="3"/>
        <v>2.7999999999999972</v>
      </c>
    </row>
    <row r="42" spans="1:13">
      <c r="A42" s="2785" t="s">
        <v>2546</v>
      </c>
      <c r="B42" s="2786" t="s">
        <v>2547</v>
      </c>
      <c r="C42" s="2787" t="s">
        <v>2548</v>
      </c>
      <c r="D42" s="2791" t="s">
        <v>2549</v>
      </c>
      <c r="E42" s="2783" t="s">
        <v>2550</v>
      </c>
      <c r="F42" s="2783"/>
      <c r="G42" s="2784"/>
    </row>
    <row r="43" spans="1:13">
      <c r="A43" s="2785" t="s">
        <v>2551</v>
      </c>
      <c r="B43" s="2786" t="s">
        <v>2552</v>
      </c>
      <c r="C43" s="2787" t="s">
        <v>2553</v>
      </c>
      <c r="D43" s="2787" t="s">
        <v>2554</v>
      </c>
      <c r="E43" s="2788" t="s">
        <v>2555</v>
      </c>
      <c r="F43" s="2789"/>
      <c r="G43" s="2790"/>
      <c r="I43" s="2797" t="s">
        <v>2563</v>
      </c>
      <c r="J43" s="2797" t="s">
        <v>2574</v>
      </c>
    </row>
    <row r="44" spans="1:13">
      <c r="A44" s="2785" t="s">
        <v>2556</v>
      </c>
      <c r="B44" s="2786" t="s">
        <v>2557</v>
      </c>
      <c r="C44" s="2787" t="s">
        <v>2558</v>
      </c>
      <c r="D44" s="2791">
        <v>0.5</v>
      </c>
      <c r="E44" s="2788" t="s">
        <v>2559</v>
      </c>
      <c r="F44" s="2789"/>
      <c r="G44" s="2790"/>
      <c r="I44" s="2797">
        <v>30</v>
      </c>
      <c r="J44" s="2797">
        <v>81.7</v>
      </c>
    </row>
    <row r="45" spans="1:13" ht="15" thickBot="1">
      <c r="A45" s="2792" t="s">
        <v>2560</v>
      </c>
      <c r="B45" s="2793" t="s">
        <v>2547</v>
      </c>
      <c r="C45" s="2794" t="s">
        <v>2547</v>
      </c>
      <c r="D45" s="2794" t="s">
        <v>2561</v>
      </c>
      <c r="E45" s="2795" t="s">
        <v>2562</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50" sqref="F50"/>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2165</v>
      </c>
      <c r="B1" s="3214" t="str">
        <f>IF(B10="北京市","北京市",C10)&amp;F10&amp;IF(结果表!G1="在建","出让国有建设用地使用权及在建建筑物",IF(结果表!G1="土地","出让国有建设用地使用权",))&amp;B9&amp;"预评估"</f>
        <v>北京市朝阳区东三环南路98号1幢房地产抵押价值预评估</v>
      </c>
      <c r="C1" s="3215"/>
      <c r="D1" s="3215"/>
      <c r="E1" s="3215"/>
      <c r="F1" s="3215"/>
      <c r="G1" s="3215"/>
      <c r="H1" s="3215"/>
      <c r="I1" s="321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北京市朝阳区东三环南路98号1幢房地产抵押价值</v>
      </c>
      <c r="T1" s="1617"/>
      <c r="U1" s="1617"/>
      <c r="V1" s="1617"/>
      <c r="W1" s="1617"/>
      <c r="X1" s="1617"/>
      <c r="Y1" s="1617"/>
      <c r="Z1" s="1617"/>
      <c r="AA1" s="1617"/>
      <c r="AB1" s="1617"/>
    </row>
    <row r="2" spans="1:30">
      <c r="A2" s="2181" t="s">
        <v>2166</v>
      </c>
      <c r="B2" s="122"/>
      <c r="D2" s="2445"/>
      <c r="E2" s="2439"/>
      <c r="F2" s="2439"/>
      <c r="G2" s="2440"/>
      <c r="H2" s="2440"/>
      <c r="I2" s="2440"/>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北京市朝阳区东三环南路98号1幢房地产</v>
      </c>
      <c r="T2" s="1617"/>
      <c r="U2" s="1617"/>
      <c r="V2" s="1617"/>
      <c r="W2" s="1617"/>
      <c r="X2" s="1617"/>
      <c r="Y2" s="1617"/>
      <c r="Z2" s="1617"/>
      <c r="AA2" s="1617"/>
      <c r="AB2" s="1617"/>
    </row>
    <row r="3" spans="1:30">
      <c r="A3" s="294" t="s">
        <v>2167</v>
      </c>
      <c r="B3" s="2184">
        <v>45649</v>
      </c>
      <c r="C3" s="2185" t="s">
        <v>2168</v>
      </c>
      <c r="D3" s="2184">
        <f>B3</f>
        <v>45649</v>
      </c>
      <c r="E3" s="2440"/>
      <c r="F3" s="2440"/>
      <c r="G3" s="2440"/>
      <c r="H3" s="2440"/>
      <c r="I3" s="2440"/>
      <c r="J3" s="2244"/>
      <c r="K3" s="2182"/>
      <c r="L3" s="2183"/>
      <c r="M3" s="2183"/>
      <c r="N3" s="2181"/>
      <c r="O3" s="1465"/>
      <c r="P3" s="2181"/>
      <c r="Q3" s="2181"/>
      <c r="R3" s="2181"/>
      <c r="S3" s="1560"/>
      <c r="T3" s="1617"/>
      <c r="U3" s="1617"/>
      <c r="V3" s="1617"/>
      <c r="W3" s="1617"/>
      <c r="X3" s="1617"/>
      <c r="Y3" s="1617"/>
      <c r="Z3" s="1617"/>
      <c r="AA3" s="1617"/>
      <c r="AB3" s="1617"/>
    </row>
    <row r="4" spans="1:30" ht="13.8" thickBot="1">
      <c r="A4" s="1027" t="s">
        <v>2169</v>
      </c>
      <c r="B4" s="2186" t="s">
        <v>3388</v>
      </c>
      <c r="C4" s="2187">
        <f ca="1">SUMIF(注册房地产估价师,B4,估价师及机构信息!B3:B24)</f>
        <v>1419970001</v>
      </c>
      <c r="D4" s="2186" t="s">
        <v>3387</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8" thickTop="1">
      <c r="A5" s="2189" t="s">
        <v>2170</v>
      </c>
      <c r="B5" s="2190"/>
      <c r="C5" s="2191"/>
      <c r="D5" s="2192"/>
      <c r="E5" s="2440"/>
      <c r="F5" s="2440"/>
      <c r="G5" s="2440"/>
      <c r="H5" s="2440"/>
      <c r="I5" s="2440"/>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2171</v>
      </c>
      <c r="B6" s="2194"/>
      <c r="C6" s="2195"/>
      <c r="D6" s="2196"/>
      <c r="E6" s="2439"/>
      <c r="F6" s="2440"/>
      <c r="G6" s="2440"/>
      <c r="H6" s="2440"/>
      <c r="I6" s="2440"/>
      <c r="J6" s="2244"/>
      <c r="K6" s="2399" t="str">
        <f>IF(COUNTIF(B6,"*上海银行*"),"上海银行","")</f>
        <v/>
      </c>
      <c r="L6" s="2397"/>
      <c r="M6" s="2397"/>
      <c r="N6" s="2244"/>
      <c r="O6" s="1669"/>
      <c r="P6" s="2244"/>
      <c r="Q6" s="2244"/>
      <c r="R6" s="2244"/>
    </row>
    <row r="7" spans="1:30">
      <c r="A7" s="2193" t="s">
        <v>2172</v>
      </c>
      <c r="B7" s="2197"/>
      <c r="C7" s="2195"/>
      <c r="D7" s="2196"/>
      <c r="E7" s="2439"/>
      <c r="F7" s="2440"/>
      <c r="G7" s="2440"/>
      <c r="H7" s="2440"/>
      <c r="I7" s="2440"/>
      <c r="J7" s="2244"/>
      <c r="K7" s="2400"/>
      <c r="L7" s="2397"/>
      <c r="M7" s="2397"/>
      <c r="N7" s="2244"/>
      <c r="O7" s="1669"/>
      <c r="P7" s="2244"/>
      <c r="Q7" s="2244"/>
      <c r="R7" s="2244"/>
    </row>
    <row r="8" spans="1:30">
      <c r="A8" s="2198" t="s">
        <v>2173</v>
      </c>
      <c r="B8" s="2199" t="s">
        <v>3389</v>
      </c>
      <c r="C8" s="2200"/>
      <c r="D8" s="3217" t="s">
        <v>2174</v>
      </c>
      <c r="E8" s="2201" t="s">
        <v>3390</v>
      </c>
      <c r="F8" s="2202"/>
      <c r="G8" s="2440"/>
      <c r="H8" s="2440"/>
      <c r="I8" s="2440"/>
      <c r="J8" s="2244"/>
      <c r="K8" s="2398"/>
      <c r="L8" s="2397"/>
      <c r="M8" s="2397"/>
      <c r="N8" s="2244"/>
      <c r="O8" s="1669"/>
      <c r="P8" s="2244"/>
      <c r="Q8" s="2244"/>
      <c r="R8" s="2244"/>
    </row>
    <row r="9" spans="1:30" ht="13.8" thickBot="1">
      <c r="A9" s="2203" t="s">
        <v>2175</v>
      </c>
      <c r="B9" s="2204" t="s">
        <v>3390</v>
      </c>
      <c r="C9" s="2205"/>
      <c r="D9" s="3218"/>
      <c r="E9" s="2204" t="s">
        <v>587</v>
      </c>
      <c r="F9" s="2206"/>
      <c r="G9" s="2441"/>
      <c r="H9" s="2441"/>
      <c r="I9" s="2441"/>
      <c r="J9" s="2244"/>
      <c r="K9" s="2400"/>
      <c r="L9" s="2397"/>
      <c r="M9" s="2397"/>
      <c r="N9" s="2244"/>
      <c r="O9" s="1669"/>
      <c r="P9" s="2244"/>
      <c r="Q9" s="2244"/>
      <c r="R9" s="2244"/>
    </row>
    <row r="10" spans="1:30" ht="13.8" thickTop="1">
      <c r="A10" s="2207" t="s">
        <v>2176</v>
      </c>
      <c r="B10" s="2208" t="s">
        <v>3391</v>
      </c>
      <c r="C10" s="2209"/>
      <c r="D10" s="2192"/>
      <c r="E10" s="2210" t="s">
        <v>2177</v>
      </c>
      <c r="F10" s="3144" t="s">
        <v>3431</v>
      </c>
      <c r="G10" s="2442"/>
      <c r="H10" s="2443"/>
      <c r="I10" s="2444"/>
      <c r="J10" s="2244"/>
      <c r="K10" s="2400"/>
      <c r="L10" s="2397"/>
      <c r="M10" s="2397"/>
      <c r="N10" s="2244"/>
      <c r="O10" s="1669"/>
      <c r="P10" s="2244"/>
      <c r="Q10" s="2244"/>
      <c r="R10" s="2244"/>
    </row>
    <row r="11" spans="1:30">
      <c r="A11" s="2211" t="s">
        <v>2178</v>
      </c>
      <c r="B11" s="2212" t="s">
        <v>3430</v>
      </c>
      <c r="C11" s="2213"/>
      <c r="D11" s="2214"/>
      <c r="E11" s="2181"/>
      <c r="F11" s="2181"/>
      <c r="G11" s="2181"/>
      <c r="H11" s="2181"/>
      <c r="I11" s="2181"/>
      <c r="J11" s="2799"/>
      <c r="K11" s="2397"/>
      <c r="L11" s="2397"/>
      <c r="M11" s="2397"/>
      <c r="N11" s="2244"/>
      <c r="O11" s="1669"/>
      <c r="P11" s="2244"/>
      <c r="Q11" s="2244"/>
      <c r="R11" s="2244"/>
    </row>
    <row r="12" spans="1:30">
      <c r="A12" s="2215" t="s">
        <v>2179</v>
      </c>
      <c r="B12" s="315" t="s">
        <v>2180</v>
      </c>
      <c r="C12" s="2216" t="s">
        <v>2181</v>
      </c>
      <c r="D12" s="2216" t="s">
        <v>2182</v>
      </c>
      <c r="E12" s="2216" t="s">
        <v>2183</v>
      </c>
      <c r="F12" s="2216" t="s">
        <v>2184</v>
      </c>
      <c r="G12" s="2216" t="s">
        <v>2185</v>
      </c>
      <c r="H12" s="2216" t="s">
        <v>2186</v>
      </c>
      <c r="I12" s="2798" t="s">
        <v>2575</v>
      </c>
      <c r="J12" s="2800"/>
      <c r="K12" s="2397"/>
      <c r="L12" s="2397"/>
      <c r="M12" s="2244"/>
      <c r="N12" s="1669"/>
      <c r="O12" s="2244"/>
      <c r="P12" s="2244"/>
      <c r="Q12" s="2244"/>
      <c r="AD12" s="1617"/>
    </row>
    <row r="13" spans="1:30">
      <c r="A13" s="3119" t="s">
        <v>3331</v>
      </c>
      <c r="B13" s="2217" t="s">
        <v>2187</v>
      </c>
      <c r="C13" s="803"/>
      <c r="D13" s="803"/>
      <c r="E13" s="803">
        <v>55872</v>
      </c>
      <c r="F13" s="803"/>
      <c r="G13" s="803"/>
      <c r="H13" s="803"/>
      <c r="I13" s="803"/>
      <c r="J13" s="2800"/>
      <c r="K13" s="2397"/>
      <c r="L13" s="2397"/>
      <c r="M13" s="2244"/>
      <c r="N13" s="1669"/>
      <c r="O13" s="2244"/>
      <c r="P13" s="2244"/>
      <c r="Q13" s="2244"/>
      <c r="AD13" s="1617"/>
    </row>
    <row r="14" spans="1:30">
      <c r="A14" s="1018"/>
      <c r="B14" s="2217" t="s">
        <v>2188</v>
      </c>
      <c r="C14" s="2218"/>
      <c r="D14" s="2218"/>
      <c r="E14" s="2218">
        <v>50</v>
      </c>
      <c r="F14" s="2218"/>
      <c r="G14" s="2218"/>
      <c r="H14" s="2218"/>
      <c r="I14" s="2218"/>
      <c r="J14" s="2801"/>
      <c r="K14" s="2397"/>
      <c r="L14" s="2397"/>
      <c r="M14" s="2244"/>
      <c r="N14" s="1669"/>
      <c r="O14" s="2244"/>
      <c r="P14" s="2244"/>
      <c r="Q14" s="2244"/>
      <c r="AD14" s="1617"/>
    </row>
    <row r="15" spans="1:30">
      <c r="A15" s="312"/>
      <c r="B15" s="2219" t="s">
        <v>2189</v>
      </c>
      <c r="C15" s="2220" t="str">
        <f>IF(A13="出让",IF(C13="","",ROUNDDOWN(MIN((C13-$D$3)/365,C14),2)),C14)</f>
        <v/>
      </c>
      <c r="D15" s="2220" t="str">
        <f>IF(A13="出让",IF(D13="","",ROUNDDOWN(MIN((D13-$D$3)/365,D14),2)),D14)</f>
        <v/>
      </c>
      <c r="E15" s="2220">
        <f>IF(A13="出让",IF(E13="","",ROUNDDOWN(MIN((E13-$D$3)/365,E14),2)),E14)</f>
        <v>28</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2190</v>
      </c>
      <c r="B16" s="3224" t="s">
        <v>3439</v>
      </c>
      <c r="C16" s="3225"/>
      <c r="D16" s="3226"/>
      <c r="E16" s="2221" t="s">
        <v>2191</v>
      </c>
      <c r="F16" s="3227">
        <f>E15</f>
        <v>28</v>
      </c>
      <c r="G16" s="3228"/>
      <c r="H16" s="3228"/>
      <c r="I16" s="3229"/>
      <c r="J16" s="2244"/>
      <c r="K16" s="2401"/>
      <c r="L16" s="1669"/>
      <c r="M16" s="1669"/>
      <c r="N16" s="2244"/>
      <c r="O16" s="1669"/>
      <c r="P16" s="2244"/>
      <c r="Q16" s="2244"/>
      <c r="R16" s="2244"/>
    </row>
    <row r="17" spans="1:28">
      <c r="A17" s="305" t="s">
        <v>2192</v>
      </c>
      <c r="B17" s="294" t="s">
        <v>2193</v>
      </c>
      <c r="C17" s="8">
        <f>'数据-汇总表'!E3</f>
        <v>179.5</v>
      </c>
      <c r="D17" s="1255" t="s">
        <v>2194</v>
      </c>
      <c r="E17" s="3230" t="s">
        <v>2195</v>
      </c>
      <c r="F17" s="3231"/>
      <c r="G17" s="3231"/>
      <c r="H17" s="3231"/>
      <c r="I17" s="3232"/>
      <c r="J17" s="2244"/>
      <c r="K17" s="2402"/>
      <c r="L17" s="1669"/>
      <c r="M17" s="1669"/>
      <c r="N17" s="2244"/>
      <c r="O17" s="1669"/>
      <c r="P17" s="2244"/>
      <c r="Q17" s="2244"/>
      <c r="R17" s="2244"/>
      <c r="S17" s="2244"/>
      <c r="T17" s="2244"/>
      <c r="U17" s="2244"/>
      <c r="V17" s="2244"/>
    </row>
    <row r="18" spans="1:28" ht="24.6" thickBot="1">
      <c r="A18" s="2222" t="s">
        <v>2196</v>
      </c>
      <c r="B18" s="1027" t="s">
        <v>2197</v>
      </c>
      <c r="C18" s="2223">
        <f>'数据-汇总表'!D3</f>
        <v>0</v>
      </c>
      <c r="D18" s="1029" t="s">
        <v>2198</v>
      </c>
      <c r="E18" s="3233" t="s">
        <v>2199</v>
      </c>
      <c r="F18" s="3234"/>
      <c r="G18" s="3234"/>
      <c r="H18" s="3234"/>
      <c r="I18" s="3235"/>
      <c r="J18" s="2244"/>
      <c r="K18" s="2402"/>
      <c r="L18" s="1669"/>
      <c r="M18" s="1669"/>
      <c r="N18" s="2244"/>
      <c r="O18" s="1669"/>
      <c r="P18" s="2244"/>
      <c r="Q18" s="2244"/>
      <c r="R18" s="2244"/>
      <c r="S18" s="2244"/>
      <c r="T18" s="2244"/>
      <c r="U18" s="2244"/>
      <c r="V18" s="2244"/>
    </row>
    <row r="19" spans="1:28" ht="37.200000000000003" thickTop="1" thickBot="1">
      <c r="A19" s="319" t="s">
        <v>1055</v>
      </c>
      <c r="B19" s="299" t="s">
        <v>2200</v>
      </c>
      <c r="C19" s="1454" t="s">
        <v>3440</v>
      </c>
      <c r="D19" s="1455" t="s">
        <v>2201</v>
      </c>
      <c r="E19" s="1456"/>
      <c r="F19" s="1457" t="str">
        <f>IF(AND(C19="是",E19="否"),"是否提供他项权证或相关说明","")</f>
        <v/>
      </c>
      <c r="G19" s="1458"/>
      <c r="H19" s="2440"/>
      <c r="I19" s="2440"/>
      <c r="J19" s="2244"/>
      <c r="K19" s="2400"/>
      <c r="L19" s="2397"/>
      <c r="M19" s="2397"/>
      <c r="N19" s="2244"/>
      <c r="O19" s="1669"/>
      <c r="P19" s="2244"/>
      <c r="Q19" s="2244"/>
      <c r="R19" s="2244"/>
      <c r="S19" s="2244"/>
      <c r="T19" s="2244"/>
      <c r="U19" s="2244"/>
      <c r="V19" s="2244"/>
    </row>
    <row r="20" spans="1:28">
      <c r="A20" s="2415" t="s">
        <v>2202</v>
      </c>
      <c r="B20" s="3220" t="s">
        <v>2203</v>
      </c>
      <c r="C20" s="3221"/>
      <c r="D20" s="3222" t="s">
        <v>2204</v>
      </c>
      <c r="E20" s="3223"/>
      <c r="F20" s="2428" t="s">
        <v>1056</v>
      </c>
      <c r="G20" s="2440"/>
      <c r="H20" s="2440"/>
      <c r="I20" s="2440"/>
      <c r="J20" s="2244"/>
      <c r="K20" s="3219"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2206</v>
      </c>
      <c r="C21" s="2295" t="s">
        <v>1057</v>
      </c>
      <c r="D21" s="1459" t="s">
        <v>2207</v>
      </c>
      <c r="E21" s="2417" t="s">
        <v>1057</v>
      </c>
      <c r="F21" s="2429"/>
      <c r="G21" s="2440"/>
      <c r="H21" s="2440"/>
      <c r="I21" s="2440"/>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2208</v>
      </c>
      <c r="C22" s="2295" t="s">
        <v>1058</v>
      </c>
      <c r="D22" s="2440"/>
      <c r="E22" s="2440"/>
      <c r="F22" s="2440"/>
      <c r="G22" s="2440"/>
      <c r="H22" s="2440"/>
      <c r="I22" s="2440"/>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2209</v>
      </c>
      <c r="B23" s="2292" t="s">
        <v>2210</v>
      </c>
      <c r="C23" s="2420"/>
      <c r="D23" s="2421" t="s">
        <v>2210</v>
      </c>
      <c r="E23" s="2422"/>
      <c r="F23" s="2440"/>
      <c r="G23" s="2440"/>
      <c r="H23" s="2440"/>
      <c r="I23" s="2440"/>
      <c r="J23" s="2244"/>
      <c r="K23" s="2399"/>
      <c r="L23" s="121"/>
      <c r="M23" s="2397"/>
      <c r="N23" s="2244"/>
      <c r="O23" s="1669"/>
      <c r="P23" s="2244"/>
      <c r="Q23" s="2244"/>
      <c r="R23" s="2244"/>
      <c r="S23" s="2244"/>
      <c r="T23" s="2244"/>
      <c r="U23" s="2244"/>
      <c r="V23" s="2244"/>
    </row>
    <row r="24" spans="1:28">
      <c r="A24" s="2419"/>
      <c r="B24" s="2292" t="s">
        <v>1059</v>
      </c>
      <c r="C24" s="2270"/>
      <c r="D24" s="2419" t="s">
        <v>1059</v>
      </c>
      <c r="E24" s="2423"/>
      <c r="F24" s="2440"/>
      <c r="G24" s="2440"/>
      <c r="H24" s="2440"/>
      <c r="I24" s="2440"/>
      <c r="J24" s="2244"/>
      <c r="K24" s="2399"/>
      <c r="L24" s="121"/>
      <c r="M24" s="2397"/>
      <c r="N24" s="2244"/>
      <c r="O24" s="1669"/>
      <c r="P24" s="2244"/>
      <c r="Q24" s="2244"/>
      <c r="R24" s="2244"/>
      <c r="S24" s="2244"/>
      <c r="T24" s="2244"/>
      <c r="U24" s="2244"/>
      <c r="V24" s="2244"/>
    </row>
    <row r="25" spans="1:28">
      <c r="A25" s="2419"/>
      <c r="B25" s="2292" t="s">
        <v>1060</v>
      </c>
      <c r="C25" s="2270"/>
      <c r="D25" s="2419" t="s">
        <v>1060</v>
      </c>
      <c r="E25" s="2423"/>
      <c r="F25" s="2440"/>
      <c r="G25" s="2440"/>
      <c r="H25" s="2440"/>
      <c r="I25" s="2440"/>
      <c r="J25" s="2244"/>
      <c r="K25" s="2400"/>
      <c r="L25" s="2397"/>
      <c r="M25" s="2397"/>
      <c r="N25" s="2244"/>
      <c r="O25" s="1669"/>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69"/>
      <c r="P26" s="2244"/>
      <c r="Q26" s="2244"/>
      <c r="R26" s="2244"/>
      <c r="S26" s="2244"/>
      <c r="T26" s="2244"/>
      <c r="U26" s="2244"/>
      <c r="V26" s="2244"/>
    </row>
    <row r="27" spans="1:28" ht="13.8" thickTop="1">
      <c r="A27" s="3237" t="s">
        <v>2211</v>
      </c>
      <c r="B27" s="312" t="s">
        <v>2212</v>
      </c>
      <c r="C27" s="2224" t="s">
        <v>3392</v>
      </c>
      <c r="D27" s="2225"/>
      <c r="E27" s="2440"/>
      <c r="F27" s="2440"/>
      <c r="G27" s="2440"/>
      <c r="H27" s="2440"/>
      <c r="I27" s="2440"/>
      <c r="J27" s="2244"/>
      <c r="K27" s="2401"/>
      <c r="L27" s="1669"/>
      <c r="M27" s="1669"/>
      <c r="N27" s="2244"/>
      <c r="O27" s="1669"/>
      <c r="P27" s="2244"/>
      <c r="Q27" s="2244"/>
      <c r="R27" s="2244"/>
      <c r="S27" s="2244"/>
      <c r="T27" s="2244"/>
      <c r="U27" s="2244"/>
      <c r="V27" s="2244"/>
    </row>
    <row r="28" spans="1:28">
      <c r="A28" s="3237"/>
      <c r="B28" s="294" t="s">
        <v>2213</v>
      </c>
      <c r="C28" s="2226"/>
      <c r="D28" s="2227"/>
      <c r="E28" s="2440"/>
      <c r="F28" s="2440"/>
      <c r="G28" s="2440"/>
      <c r="H28" s="2440"/>
      <c r="I28" s="2440"/>
      <c r="J28" s="2244"/>
      <c r="K28" s="2400"/>
      <c r="L28" s="2397"/>
      <c r="M28" s="2397"/>
      <c r="N28" s="2244"/>
      <c r="O28" s="1669"/>
      <c r="P28" s="2244"/>
      <c r="Q28" s="2244"/>
      <c r="R28" s="2244"/>
      <c r="S28" s="2244"/>
      <c r="T28" s="2244"/>
      <c r="U28" s="2244"/>
      <c r="V28" s="2244"/>
    </row>
    <row r="29" spans="1:28">
      <c r="A29" s="3237"/>
      <c r="B29" s="294" t="s">
        <v>2214</v>
      </c>
      <c r="C29" s="2228"/>
      <c r="D29" s="2229"/>
      <c r="E29" s="2440"/>
      <c r="F29" s="2440"/>
      <c r="G29" s="2440"/>
      <c r="H29" s="2440"/>
      <c r="I29" s="2440"/>
      <c r="J29" s="2244"/>
      <c r="K29" s="2400"/>
      <c r="L29" s="2397"/>
      <c r="M29" s="2397"/>
      <c r="N29" s="2244"/>
      <c r="O29" s="1669"/>
      <c r="P29" s="2244"/>
      <c r="Q29" s="2244"/>
      <c r="R29" s="2244"/>
      <c r="S29" s="2244"/>
      <c r="T29" s="2244"/>
      <c r="U29" s="2244"/>
      <c r="V29" s="2244"/>
    </row>
    <row r="30" spans="1:28">
      <c r="A30" s="3238"/>
      <c r="B30" s="294" t="s">
        <v>2215</v>
      </c>
      <c r="C30" s="3239"/>
      <c r="D30" s="3240"/>
      <c r="E30" s="2440"/>
      <c r="F30" s="2440"/>
      <c r="G30" s="2440"/>
      <c r="H30" s="2440"/>
      <c r="I30" s="2440"/>
      <c r="J30" s="2244"/>
      <c r="K30" s="2400"/>
      <c r="L30" s="2397"/>
      <c r="M30" s="2397"/>
      <c r="N30" s="2244"/>
      <c r="O30" s="1669"/>
      <c r="P30" s="2244"/>
      <c r="Q30" s="2244"/>
      <c r="R30" s="2244"/>
      <c r="S30" s="2244"/>
      <c r="T30" s="2244"/>
      <c r="U30" s="2244"/>
      <c r="V30" s="2244"/>
    </row>
    <row r="31" spans="1:28">
      <c r="A31" s="3241" t="s">
        <v>2216</v>
      </c>
      <c r="B31" s="2230" t="s">
        <v>3393</v>
      </c>
      <c r="C31" s="12" t="str">
        <f>IF(B31="现房","成新及维护状况正常否",IF(B31="在建","工程状态是否正常",IF(B31="土地","是否闲置","-")))</f>
        <v>成新及维护状况正常否</v>
      </c>
      <c r="D31" s="1280"/>
      <c r="E31" s="2231"/>
      <c r="F31" s="2440"/>
      <c r="G31" s="2440"/>
      <c r="H31" s="2440"/>
      <c r="I31" s="2440"/>
      <c r="J31" s="2244"/>
      <c r="K31" s="2399"/>
      <c r="L31" s="2397"/>
      <c r="M31" s="2397"/>
      <c r="N31" s="2244"/>
      <c r="O31" s="1669"/>
      <c r="P31" s="2244"/>
      <c r="Q31" s="2244"/>
      <c r="R31" s="2244"/>
      <c r="S31" s="2244"/>
      <c r="T31" s="2244"/>
      <c r="U31" s="2244"/>
      <c r="V31" s="2244"/>
    </row>
    <row r="32" spans="1:28">
      <c r="A32" s="3242"/>
      <c r="B32" s="2230"/>
      <c r="C32" s="12" t="str">
        <f>IF(B32="现房","成新及维护状况是否正常",IF(B32="在建","工程状态是否正常",IF(B32="土地","是否闲置","-")))</f>
        <v>-</v>
      </c>
      <c r="D32" s="1280"/>
      <c r="E32" s="2231"/>
      <c r="F32" s="2440"/>
      <c r="G32" s="2440"/>
      <c r="H32" s="2440"/>
      <c r="I32" s="2440"/>
      <c r="J32" s="2244"/>
      <c r="K32" s="2400"/>
      <c r="L32" s="2397"/>
      <c r="M32" s="2397"/>
      <c r="N32" s="2244"/>
      <c r="O32" s="1669"/>
      <c r="P32" s="2244"/>
      <c r="Q32" s="2244"/>
      <c r="R32" s="2244"/>
      <c r="S32" s="2244"/>
      <c r="T32" s="2244"/>
      <c r="U32" s="2244"/>
      <c r="V32" s="2244"/>
    </row>
    <row r="33" spans="1:30">
      <c r="A33" s="3242"/>
      <c r="B33" s="2233"/>
      <c r="C33" s="1477" t="str">
        <f>IF(B33="现房","成新及维护状况是否正常",IF(B33="在建","工程状态是否正常",IF(B33="土地","是否闲置","-")))</f>
        <v>-</v>
      </c>
      <c r="D33" s="1273"/>
      <c r="E33" s="2234"/>
      <c r="F33" s="2440"/>
      <c r="G33" s="2440"/>
      <c r="H33" s="2440"/>
      <c r="I33" s="2440"/>
      <c r="J33" s="2244"/>
      <c r="K33" s="2400"/>
      <c r="L33" s="2397"/>
      <c r="M33" s="2397"/>
      <c r="N33" s="2244"/>
      <c r="O33" s="1669"/>
      <c r="P33" s="2244"/>
      <c r="Q33" s="2244"/>
      <c r="R33" s="2244"/>
      <c r="S33" s="2244"/>
      <c r="T33" s="2244"/>
      <c r="U33" s="2244"/>
      <c r="V33" s="2244"/>
    </row>
    <row r="34" spans="1:30">
      <c r="A34" s="294" t="s">
        <v>2217</v>
      </c>
      <c r="B34" s="1869"/>
      <c r="C34" s="1869"/>
      <c r="D34" s="1869"/>
      <c r="E34" s="1869"/>
      <c r="F34" s="1869"/>
      <c r="G34" s="1869"/>
      <c r="H34" s="1869"/>
      <c r="I34" s="2440"/>
      <c r="J34" s="2244"/>
      <c r="K34" s="8">
        <f>COUNTIF(B34:H34,"——")</f>
        <v>0</v>
      </c>
      <c r="L34" s="315" t="s">
        <v>2218</v>
      </c>
      <c r="M34" s="315" t="s">
        <v>2219</v>
      </c>
      <c r="N34" s="315" t="s">
        <v>2220</v>
      </c>
      <c r="O34" s="315" t="s">
        <v>2221</v>
      </c>
      <c r="P34" s="315" t="s">
        <v>2222</v>
      </c>
      <c r="Q34" s="315" t="s">
        <v>2223</v>
      </c>
      <c r="R34" s="315" t="s">
        <v>2224</v>
      </c>
      <c r="S34" s="3236" t="s">
        <v>2225</v>
      </c>
      <c r="T34" s="315" t="str">
        <f>NUMBERSTRING(7-K34,1)&amp;"通"</f>
        <v>七通</v>
      </c>
      <c r="U34" s="2244"/>
      <c r="V34" s="2244"/>
    </row>
    <row r="35" spans="1:30">
      <c r="A35" s="2235"/>
      <c r="B35" s="3236" t="s">
        <v>2226</v>
      </c>
      <c r="C35" s="3236"/>
      <c r="D35" s="3236"/>
      <c r="E35" s="3236"/>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4"/>
      <c r="V35" s="2244"/>
    </row>
    <row r="36" spans="1:30">
      <c r="A36" s="2182"/>
      <c r="B36" s="8" t="s">
        <v>2182</v>
      </c>
      <c r="C36" s="8" t="s">
        <v>2183</v>
      </c>
      <c r="D36" s="8" t="s">
        <v>2181</v>
      </c>
      <c r="E36" s="8" t="s">
        <v>2186</v>
      </c>
      <c r="F36" s="2798" t="s">
        <v>2578</v>
      </c>
      <c r="G36" s="2440"/>
      <c r="H36" s="2440"/>
      <c r="I36" s="2440"/>
      <c r="J36" s="2244"/>
      <c r="K36" s="2400"/>
      <c r="L36" s="2397"/>
      <c r="M36" s="2397"/>
      <c r="N36" s="2244"/>
      <c r="O36" s="1669"/>
      <c r="P36" s="2244"/>
      <c r="Q36" s="2244"/>
      <c r="R36" s="2244"/>
      <c r="S36" s="2244"/>
      <c r="T36" s="2244"/>
      <c r="U36" s="2244"/>
      <c r="V36" s="2244"/>
    </row>
    <row r="37" spans="1:30">
      <c r="A37" s="2413" t="s">
        <v>2227</v>
      </c>
      <c r="B37" s="2236"/>
      <c r="C37" s="2236" t="s">
        <v>110</v>
      </c>
      <c r="D37" s="2236"/>
      <c r="E37" s="2236"/>
      <c r="F37" s="2236"/>
      <c r="G37" s="2440"/>
      <c r="H37" s="2440"/>
      <c r="I37" s="2440"/>
      <c r="J37" s="2244"/>
      <c r="K37" s="2400"/>
      <c r="L37" s="2397"/>
      <c r="M37" s="2397"/>
      <c r="N37" s="2244"/>
      <c r="O37" s="1669"/>
      <c r="P37" s="2244"/>
      <c r="Q37" s="2244"/>
      <c r="R37" s="2244"/>
      <c r="S37" s="2244"/>
      <c r="T37" s="2244"/>
      <c r="U37" s="2244"/>
      <c r="V37" s="2244"/>
    </row>
    <row r="38" spans="1:30" ht="13.8" thickBot="1">
      <c r="A38" s="2414" t="s">
        <v>2228</v>
      </c>
      <c r="B38" s="2237"/>
      <c r="C38" s="2237" t="s">
        <v>237</v>
      </c>
      <c r="D38" s="2237"/>
      <c r="E38" s="2237"/>
      <c r="F38" s="2237"/>
      <c r="G38" s="2441"/>
      <c r="H38" s="2441"/>
      <c r="I38" s="2441"/>
      <c r="J38" s="2244"/>
      <c r="K38" s="2400"/>
      <c r="L38" s="2397"/>
      <c r="M38" s="2397"/>
      <c r="N38" s="2244"/>
      <c r="O38" s="1669"/>
      <c r="P38" s="2244"/>
      <c r="Q38" s="2244"/>
      <c r="R38" s="2244"/>
      <c r="S38" s="2244"/>
      <c r="T38" s="2244"/>
      <c r="U38" s="2244"/>
      <c r="V38" s="2244"/>
    </row>
    <row r="39" spans="1:30" s="2240" customFormat="1" ht="14.4" thickTop="1" thickBot="1">
      <c r="A39" s="2238" t="s">
        <v>2229</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4"/>
      <c r="K40" s="2399"/>
      <c r="L40" s="1669"/>
      <c r="M40" s="1669"/>
      <c r="N40" s="2244"/>
      <c r="O40" s="1669"/>
      <c r="P40" s="2244"/>
      <c r="Q40" s="2244"/>
      <c r="R40" s="2244"/>
      <c r="S40" s="2244"/>
      <c r="T40" s="2244"/>
      <c r="U40" s="2244"/>
      <c r="V40" s="2244"/>
    </row>
    <row r="41" spans="1:30">
      <c r="A41" s="2241" t="s">
        <v>2230</v>
      </c>
      <c r="B41" s="1626"/>
      <c r="C41" s="1280"/>
      <c r="D41" s="2181"/>
      <c r="E41" s="2181"/>
      <c r="F41" s="2181"/>
      <c r="G41" s="2181"/>
      <c r="H41" s="2181"/>
      <c r="I41" s="1465"/>
      <c r="J41" s="2244"/>
      <c r="K41" s="2400"/>
      <c r="L41" s="2397"/>
      <c r="M41" s="2397"/>
      <c r="N41" s="2244"/>
      <c r="O41" s="1669"/>
      <c r="P41" s="2244"/>
      <c r="Q41" s="2244"/>
      <c r="R41" s="2244"/>
      <c r="S41" s="2244"/>
      <c r="T41" s="2244"/>
      <c r="U41" s="2244"/>
      <c r="V41" s="2244"/>
    </row>
    <row r="42" spans="1:30" ht="25.2">
      <c r="A42" s="315" t="s">
        <v>2231</v>
      </c>
      <c r="B42" s="8" t="s">
        <v>2232</v>
      </c>
      <c r="C42" s="8" t="s">
        <v>2233</v>
      </c>
      <c r="D42" s="8" t="s">
        <v>2234</v>
      </c>
      <c r="E42" s="8" t="s">
        <v>2235</v>
      </c>
      <c r="F42" s="8" t="s">
        <v>2236</v>
      </c>
      <c r="G42" s="8" t="s">
        <v>2237</v>
      </c>
      <c r="H42" s="8" t="s">
        <v>2238</v>
      </c>
      <c r="I42" s="8" t="s">
        <v>2239</v>
      </c>
      <c r="J42" s="2409" t="s">
        <v>2240</v>
      </c>
      <c r="K42" s="2410" t="s">
        <v>2241</v>
      </c>
      <c r="L42" s="2410" t="s">
        <v>2242</v>
      </c>
      <c r="M42" s="2410" t="s">
        <v>2243</v>
      </c>
      <c r="N42" s="2403" t="s">
        <v>2244</v>
      </c>
      <c r="O42" s="2403" t="s">
        <v>2245</v>
      </c>
      <c r="P42" s="2403" t="s">
        <v>2246</v>
      </c>
      <c r="Q42" s="2404" t="s">
        <v>2247</v>
      </c>
      <c r="R42" s="2404" t="s">
        <v>2248</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893.15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893.15</v>
      </c>
      <c r="H5" s="13">
        <f t="shared" ref="H5:AT5" si="0">SUM(H13:H656)</f>
        <v>893.15</v>
      </c>
      <c r="I5" s="13">
        <f t="shared" si="0"/>
        <v>893.15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179.5</v>
      </c>
      <c r="BA5" s="15">
        <f t="shared" si="1"/>
        <v>179.5</v>
      </c>
      <c r="BB5" s="15">
        <f t="shared" si="1"/>
        <v>179.5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3442</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f>面积清单!G4</f>
        <v>712</v>
      </c>
      <c r="D13" s="1512"/>
      <c r="E13" s="13">
        <f>IF($C$3="是",ROUND($A$3*G13/$B$3,2),ROUND($A$3*(G13-AT13)/$B$3,2))</f>
        <v>0</v>
      </c>
      <c r="F13" s="29"/>
      <c r="G13" s="30">
        <f>H13+AC13+AT13</f>
        <v>194.79</v>
      </c>
      <c r="H13" s="17">
        <f>SUMIF(I$12:AB$12,"总值",I13:AB13)</f>
        <v>194.79</v>
      </c>
      <c r="I13" s="1513">
        <f>面积清单!H4</f>
        <v>194.79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712</v>
      </c>
      <c r="AY13" s="125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628">
        <f>面积清单!G5</f>
        <v>1511</v>
      </c>
      <c r="D14" s="1512" t="s">
        <v>3441</v>
      </c>
      <c r="E14" s="13">
        <f>IF($C$3="是",ROUND($A$3*G14/$B$3,2),ROUND($A$3*(G14-AT14)/$B$3,2))</f>
        <v>0</v>
      </c>
      <c r="F14" s="29"/>
      <c r="G14" s="30">
        <f>H14+AC14+AT14</f>
        <v>179.5</v>
      </c>
      <c r="H14" s="17">
        <f>SUMIF(I$12:AB$12,"总值",I14:AB14)</f>
        <v>179.5</v>
      </c>
      <c r="I14" s="1513">
        <f>面积清单!H5</f>
        <v>179.5</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1511</v>
      </c>
      <c r="AY14" s="1259">
        <f>ROUND($AY$6*AZ14/$AZ$5,2)</f>
        <v>0</v>
      </c>
      <c r="AZ14" s="13">
        <f>BA14+BL14</f>
        <v>179.5</v>
      </c>
      <c r="BA14" s="13">
        <f>SUM(BB14:BK14)</f>
        <v>179.5</v>
      </c>
      <c r="BB14" s="13">
        <f>IF($D14="是",I14-J14,0)</f>
        <v>179.5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628">
        <f>面积清单!G6</f>
        <v>1805</v>
      </c>
      <c r="D15" s="1512"/>
      <c r="E15" s="13">
        <f>IF($C$3="是",ROUND($A$3*G15/$B$3,2),ROUND($A$3*(G15-AT15)/$B$3,2))</f>
        <v>0</v>
      </c>
      <c r="F15" s="29"/>
      <c r="G15" s="30">
        <f>H15+AC15+AT15</f>
        <v>199.86</v>
      </c>
      <c r="H15" s="17">
        <f>SUMIF(I$12:AB$12,"总值",I15:AB15)</f>
        <v>199.86</v>
      </c>
      <c r="I15" s="1513">
        <f>面积清单!H6</f>
        <v>199.86</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1805</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628">
        <f>面积清单!G7</f>
        <v>2006</v>
      </c>
      <c r="D16" s="1512"/>
      <c r="E16" s="13">
        <f>IF($C$3="是",ROUND($A$3*G16/$B$3,2),ROUND($A$3*(G16-AT16)/$B$3,2))</f>
        <v>0</v>
      </c>
      <c r="F16" s="29"/>
      <c r="G16" s="30">
        <f>H16+AC16+AT16</f>
        <v>114.36</v>
      </c>
      <c r="H16" s="17">
        <f>SUMIF(I$12:AB$12,"总值",I16:AB16)</f>
        <v>114.36</v>
      </c>
      <c r="I16" s="1513">
        <f>面积清单!H7</f>
        <v>114.36</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2006</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628">
        <f>面积清单!G8</f>
        <v>2012</v>
      </c>
      <c r="D17" s="1512"/>
      <c r="E17" s="13">
        <f>IF($C$3="是",ROUND($A$3*G17/$B$3,2),ROUND($A$3*(G17-AT17)/$B$3,2))</f>
        <v>0</v>
      </c>
      <c r="F17" s="29"/>
      <c r="G17" s="30">
        <f>H17+AC17+AT17</f>
        <v>204.64</v>
      </c>
      <c r="H17" s="17">
        <f>SUMIF(I$12:AB$12,"总值",I17:AB17)</f>
        <v>204.64</v>
      </c>
      <c r="I17" s="1513">
        <f>面积清单!H8</f>
        <v>204.64</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2012</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39" sqref="G39"/>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252" t="s">
        <v>1131</v>
      </c>
      <c r="B2" s="3252"/>
      <c r="C2" s="3252"/>
      <c r="D2" s="748" t="s">
        <v>1107</v>
      </c>
      <c r="E2" s="1522" t="s">
        <v>1108</v>
      </c>
      <c r="F2" s="2437"/>
      <c r="G2" s="2430"/>
      <c r="H2" s="2431"/>
      <c r="I2" s="2145" t="s">
        <v>1132</v>
      </c>
      <c r="J2" s="2437"/>
      <c r="K2" s="2437"/>
      <c r="L2" s="2437"/>
      <c r="M2" s="2437"/>
      <c r="N2" s="2438"/>
      <c r="O2" s="2437"/>
      <c r="P2" s="2437"/>
    </row>
    <row r="3" spans="1:16" ht="15" thickBot="1">
      <c r="A3" s="3253" t="s">
        <v>1105</v>
      </c>
      <c r="B3" s="3253"/>
      <c r="C3" s="3253"/>
      <c r="D3" s="41">
        <f>'数据-基础表'!AY6</f>
        <v>0</v>
      </c>
      <c r="E3" s="41">
        <f>'数据-基础表'!AZ5</f>
        <v>179.5</v>
      </c>
      <c r="F3" s="2437"/>
      <c r="G3" s="42"/>
      <c r="H3" s="43" t="s">
        <v>1106</v>
      </c>
      <c r="I3" s="802" t="e">
        <f>ROUND('数据-基础表'!B3/'数据-基础表'!A3,2)</f>
        <v>#DIV/0!</v>
      </c>
      <c r="J3" s="2437"/>
      <c r="K3" s="2437"/>
      <c r="L3" s="2437"/>
      <c r="M3" s="2437"/>
      <c r="N3" s="2438"/>
      <c r="O3" s="2437"/>
      <c r="P3" s="2437"/>
    </row>
    <row r="4" spans="1:16" ht="14.4">
      <c r="A4" s="3254"/>
      <c r="B4" s="3255"/>
      <c r="C4" s="3256"/>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7" t="s">
        <v>1110</v>
      </c>
      <c r="C5" s="3257"/>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6"/>
      <c r="B6" s="3257" t="s">
        <v>1111</v>
      </c>
      <c r="C6" s="3257"/>
      <c r="D6" s="43">
        <f>ROUND($D$3*E6/$E$3,2)</f>
        <v>0</v>
      </c>
      <c r="E6" s="44">
        <f>E3-E5</f>
        <v>179.5</v>
      </c>
      <c r="F6" s="2437"/>
      <c r="G6" s="1528" t="s">
        <v>1112</v>
      </c>
      <c r="H6" s="45" t="s">
        <v>1113</v>
      </c>
      <c r="I6" s="2433" t="e">
        <f>ROUND(F31/D31,2)</f>
        <v>#DIV/0!</v>
      </c>
      <c r="J6" s="2437"/>
      <c r="K6" s="2437"/>
      <c r="L6" s="2437"/>
      <c r="M6" s="2437"/>
      <c r="N6" s="2437"/>
      <c r="O6" s="2437"/>
      <c r="P6" s="2437"/>
    </row>
    <row r="7" spans="1:16" ht="15" thickBot="1">
      <c r="A7" s="3249"/>
      <c r="B7" s="3250"/>
      <c r="C7" s="3251"/>
      <c r="D7" s="1523" t="s">
        <v>1107</v>
      </c>
      <c r="E7" s="1527" t="s">
        <v>1114</v>
      </c>
      <c r="F7" s="2437"/>
      <c r="G7" s="2434" t="s">
        <v>1115</v>
      </c>
      <c r="H7" s="95"/>
      <c r="I7" s="2435">
        <v>3.7</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179.5</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179.5</v>
      </c>
      <c r="F16" s="2437"/>
      <c r="G16" s="2437"/>
      <c r="H16" s="1530" t="s">
        <v>1135</v>
      </c>
      <c r="I16" s="1531"/>
      <c r="J16" s="1071"/>
      <c r="K16" s="3246" t="s">
        <v>1135</v>
      </c>
      <c r="L16" s="3247"/>
      <c r="M16" s="3247"/>
      <c r="N16" s="3247"/>
      <c r="O16" s="3247"/>
      <c r="P16" s="3248"/>
    </row>
    <row r="17" spans="1:19" ht="14.4">
      <c r="A17" s="1532" t="s">
        <v>1136</v>
      </c>
      <c r="B17" s="1533" t="s">
        <v>1137</v>
      </c>
      <c r="C17" s="1534" t="s">
        <v>1138</v>
      </c>
      <c r="D17" s="1535" t="s">
        <v>1126</v>
      </c>
      <c r="E17" s="1536" t="s">
        <v>1127</v>
      </c>
      <c r="F17" s="1537"/>
      <c r="G17" s="1538"/>
      <c r="H17" s="1539" t="s">
        <v>1139</v>
      </c>
      <c r="I17" s="1540" t="s">
        <v>1124</v>
      </c>
      <c r="J17" s="1071"/>
      <c r="K17" s="3243" t="s">
        <v>1140</v>
      </c>
      <c r="L17" s="3244"/>
      <c r="M17" s="3245"/>
      <c r="N17" s="3243" t="s">
        <v>1141</v>
      </c>
      <c r="O17" s="3244"/>
      <c r="P17" s="3245"/>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113">
        <f>'数据-基础表'!C14</f>
        <v>1511</v>
      </c>
      <c r="D19" s="43">
        <f>ROUND($D$3*E19/$E$3,2)</f>
        <v>0</v>
      </c>
      <c r="E19" s="51">
        <f t="shared" ref="E19:E26" si="1">SUM(F19:G19)</f>
        <v>179.5</v>
      </c>
      <c r="F19" s="2555">
        <f>'数据-基础表'!G14</f>
        <v>179.5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179.5</v>
      </c>
    </row>
    <row r="20" spans="1:19" ht="14.4">
      <c r="A20" s="1548"/>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0</v>
      </c>
      <c r="E27" s="1073">
        <f>IF(SUM(E19:E26)='数据-基础表'!BA5,SUM(E19:E26),IF(F27="地上面积有误","面积有误","地下面积有误"))</f>
        <v>179.5</v>
      </c>
      <c r="F27" s="1072">
        <f>IF(SUM(F19:F26)=E8,SUM(F19:F26),"地上面积有误")</f>
        <v>179.5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179.5</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6"/>
      <c r="B31" s="96"/>
      <c r="C31" s="785" t="s">
        <v>1158</v>
      </c>
      <c r="D31" s="643">
        <f>D27+D30</f>
        <v>0</v>
      </c>
      <c r="E31" s="643">
        <f>E27+E30</f>
        <v>179.5</v>
      </c>
      <c r="F31" s="644">
        <f>F27+F30</f>
        <v>179.5</v>
      </c>
      <c r="G31" s="645">
        <f>G27+G30</f>
        <v>0</v>
      </c>
      <c r="H31" s="2437"/>
      <c r="I31" s="2437"/>
      <c r="J31" s="2437"/>
      <c r="K31" s="2437"/>
      <c r="L31" s="2437"/>
      <c r="M31" s="2437"/>
      <c r="N31" s="2437"/>
      <c r="O31" s="2437"/>
      <c r="P31" s="2437"/>
    </row>
    <row r="32" spans="1:19" ht="14.4">
      <c r="A32" s="1525"/>
      <c r="B32" s="1525" t="s">
        <v>1159</v>
      </c>
      <c r="C32" s="1525"/>
      <c r="D32" s="1525"/>
      <c r="E32" s="990">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Y61" sqref="Y61"/>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 thickBot="1">
      <c r="A2" s="1561" t="s">
        <v>1161</v>
      </c>
      <c r="B2" s="984">
        <f>项目基本情况!D3</f>
        <v>45649</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7" t="s">
        <v>1177</v>
      </c>
      <c r="K5" s="1575" t="s">
        <v>1178</v>
      </c>
      <c r="L5" s="1576" t="s">
        <v>1179</v>
      </c>
      <c r="M5" s="1577" t="s">
        <v>1180</v>
      </c>
      <c r="N5" s="1578" t="s">
        <v>3396</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f>'数据-汇总表'!C19</f>
        <v>1511</v>
      </c>
      <c r="B6" s="1586" t="str">
        <f>IF(A6=0,"","经营性")</f>
        <v>经营性</v>
      </c>
      <c r="C6" s="1587" t="s">
        <v>21</v>
      </c>
      <c r="D6" s="805">
        <f>SUMIF(项目基本情况!C$12:I$12,C6,项目基本情况!C$14:I$14)</f>
        <v>50</v>
      </c>
      <c r="E6" s="804">
        <f>IF(B6="","",SUMIF(项目基本情况!C$12:I$12,C6,项目基本情况!C$13:I$13))</f>
        <v>55872</v>
      </c>
      <c r="F6" s="61">
        <f>SUMIF(项目基本情况!C$12:I$12,C6,项目基本情况!C$15:I$15)</f>
        <v>28</v>
      </c>
      <c r="G6" s="62">
        <f>IF(ISERROR(ROUND(POWER(1+H6,D6-F6)*(POWER(1+H6,F6)-1)/(POWER(1+H6,D6)-1),3)),0,ROUND(POWER(1+H6,D6-F6)*(POWER(1+H6,F6)-1)/(POWER(1+H6,D6)-1),3))</f>
        <v>0.81599999999999995</v>
      </c>
      <c r="H6" s="691">
        <v>0.05</v>
      </c>
      <c r="I6" s="691">
        <v>5.5E-2</v>
      </c>
      <c r="J6" s="63">
        <v>7.0000000000000007E-2</v>
      </c>
      <c r="K6" s="970">
        <f>SUMIF('数据-汇总表'!C$19:C$33,A6,'数据-汇总表'!E$19:E$33)</f>
        <v>179.5</v>
      </c>
      <c r="L6" s="692">
        <v>4500</v>
      </c>
      <c r="M6" s="64">
        <f t="shared" ref="M6:M14" si="0">ROUND(K6*L6/10000,0)</f>
        <v>81</v>
      </c>
      <c r="N6" s="690">
        <f>L22</f>
        <v>0.76</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'比较法-办公 租金'!C50</f>
        <v>4.4000000000000004</v>
      </c>
      <c r="V6" s="67">
        <v>0.02</v>
      </c>
      <c r="W6" s="67">
        <v>0.1</v>
      </c>
      <c r="X6" s="979"/>
      <c r="Y6" s="68">
        <f>N6</f>
        <v>0.76</v>
      </c>
      <c r="Z6" s="69"/>
      <c r="AA6" s="63"/>
      <c r="AB6" s="63"/>
      <c r="AC6" s="979"/>
      <c r="AD6" s="70"/>
      <c r="AE6" s="980">
        <f ca="1">IF(AN6="",0,SUMIF(INDIRECT("'"&amp;AN6&amp;"'"&amp;"!E:E"),$AE$5,INDIRECT("'"&amp;AN6&amp;"'"&amp;"!F:F")))</f>
        <v>28</v>
      </c>
      <c r="AF6" s="74"/>
      <c r="AG6" s="130">
        <f>IF(AF6="",0,AE6-AF6)</f>
        <v>0</v>
      </c>
      <c r="AH6" s="71"/>
      <c r="AI6" s="73">
        <v>365</v>
      </c>
      <c r="AJ6" s="74"/>
      <c r="AK6" s="75">
        <v>0.01</v>
      </c>
      <c r="AL6" s="76">
        <v>1E-3</v>
      </c>
      <c r="AM6" s="77">
        <v>0.01</v>
      </c>
      <c r="AN6" s="1588" t="s">
        <v>3444</v>
      </c>
      <c r="AO6" s="50">
        <f ca="1">SUMIF(INDIRECT("'"&amp;AN6&amp;"'"&amp;"!A:A"),"总价",INDIRECT("'"&amp;AN6&amp;"'"&amp;"!B:B"))</f>
        <v>357.4246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0.81599999999999995</v>
      </c>
      <c r="H16" s="84">
        <f>ROUND(SUMPRODUCT(H6:H13,K6:K13)/SUMPRODUCT((H6:H13&gt;0)*(K6:K13)),3)</f>
        <v>0.05</v>
      </c>
      <c r="I16" s="85"/>
      <c r="J16" s="85"/>
      <c r="K16" s="86">
        <f>SUM(K6:K15)</f>
        <v>179.5</v>
      </c>
      <c r="L16" s="87">
        <f>ROUND(M16*10000/SUM(K6:K14),0)</f>
        <v>4513</v>
      </c>
      <c r="M16" s="87">
        <f>SUM(M6:M14)</f>
        <v>81</v>
      </c>
      <c r="N16" s="88">
        <f>ROUND(SUMPRODUCT(M6:M14,N6:N14)/M16,3)</f>
        <v>0.76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3147" t="s">
        <v>3434</v>
      </c>
      <c r="L18" s="2447">
        <v>2002</v>
      </c>
      <c r="M18" s="3148" t="s">
        <v>3435</v>
      </c>
      <c r="N18" s="2446"/>
      <c r="O18" s="2446">
        <f>L18+50</f>
        <v>2052</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v>0</v>
      </c>
      <c r="C19" s="2558" t="s">
        <v>2300</v>
      </c>
      <c r="D19" s="2449"/>
      <c r="E19" s="2437"/>
      <c r="F19" s="2437"/>
      <c r="G19" s="2437"/>
      <c r="H19" s="2437"/>
      <c r="I19" s="2437"/>
      <c r="J19" s="2437"/>
      <c r="K19" s="3147" t="s">
        <v>3433</v>
      </c>
      <c r="L19" s="2447">
        <v>2004</v>
      </c>
      <c r="M19" s="3148" t="s">
        <v>3435</v>
      </c>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8">
        <v>2</v>
      </c>
      <c r="C20" s="2559" t="s">
        <v>2298</v>
      </c>
      <c r="D20" s="2449"/>
      <c r="E20" s="2437"/>
      <c r="F20" s="2437"/>
      <c r="G20" s="2437"/>
      <c r="H20" s="2437"/>
      <c r="I20" s="2437"/>
      <c r="J20" s="2437"/>
      <c r="K20" s="3147" t="s">
        <v>3436</v>
      </c>
      <c r="L20" s="2447">
        <f>ROUND(1-(1-0)*(2024-L19)/60,2)</f>
        <v>0.67</v>
      </c>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8">
        <f>B20</f>
        <v>2</v>
      </c>
      <c r="C21" s="2437"/>
      <c r="D21" s="2449"/>
      <c r="E21" s="2437"/>
      <c r="F21" s="2437"/>
      <c r="G21" s="2437"/>
      <c r="H21" s="2437"/>
      <c r="I21" s="2437"/>
      <c r="J21" s="2437"/>
      <c r="K21" s="3147" t="s">
        <v>3437</v>
      </c>
      <c r="L21" s="2447">
        <v>0.85</v>
      </c>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9">
        <f>B19+B20</f>
        <v>2</v>
      </c>
      <c r="C22" s="2437"/>
      <c r="D22" s="2449"/>
      <c r="E22" s="2437"/>
      <c r="F22" s="2437"/>
      <c r="G22" s="2437"/>
      <c r="H22" s="2437"/>
      <c r="I22" s="2437"/>
      <c r="J22" s="2437"/>
      <c r="K22" s="3147" t="s">
        <v>3438</v>
      </c>
      <c r="L22" s="2447">
        <f>ROUND((L20+L21)/2,2)</f>
        <v>0.76</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1">
        <v>160</v>
      </c>
      <c r="C27" s="2560" t="s">
        <v>2302</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5"/>
      <c r="C29" s="2561" t="s">
        <v>2291</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40">
        <v>0.04</v>
      </c>
      <c r="C33" s="2562" t="s">
        <v>3375</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6">
        <v>0</v>
      </c>
      <c r="C34" s="2562" t="s">
        <v>2292</v>
      </c>
      <c r="D34" s="2457" t="s">
        <v>2299</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3">
        <v>200</v>
      </c>
      <c r="C35" s="2562" t="s">
        <v>2293</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0.02</v>
      </c>
      <c r="C36" s="2562" t="s">
        <v>3376</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8">
        <v>0.02</v>
      </c>
      <c r="C37" s="2562" t="s">
        <v>2294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6">
        <v>0.02</v>
      </c>
      <c r="C38" s="2562" t="s">
        <v>2294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2309</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2">
        <v>7.0000000000000007E-2</v>
      </c>
      <c r="C44" s="2562" t="s">
        <v>2303</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10">
        <v>0.03</v>
      </c>
      <c r="C45" s="2561" t="s">
        <v>2295</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10">
        <v>0.02</v>
      </c>
      <c r="C46" s="2561" t="s">
        <v>2296</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2304</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4">
        <v>0.03</v>
      </c>
      <c r="C48" s="2561" t="s">
        <v>2295</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2297</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7">
        <f>SUMIF(A54:A63,B53,B54:B63)</f>
        <v>12</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110</v>
      </c>
      <c r="C53" s="2438" t="s">
        <v>1246</v>
      </c>
      <c r="D53" s="2563" t="s">
        <v>2301</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f>C57</f>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1"/>
  </cols>
  <sheetData>
    <row r="1" spans="1:29" s="2258" customFormat="1" ht="18" thickBot="1">
      <c r="A1" s="3258" t="s">
        <v>2283</v>
      </c>
      <c r="B1" s="3259"/>
      <c r="C1" s="3259"/>
      <c r="D1" s="3259"/>
      <c r="E1" s="3259"/>
      <c r="F1" s="3259"/>
      <c r="G1" s="325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4"/>
      <c r="E2" s="2259"/>
      <c r="F2" s="2262"/>
      <c r="G2" s="2261" t="s">
        <v>2279</v>
      </c>
      <c r="H2" s="751"/>
      <c r="I2" s="751"/>
      <c r="J2" s="751"/>
      <c r="K2" s="751"/>
      <c r="L2" s="751"/>
      <c r="M2" s="751"/>
      <c r="N2" s="751"/>
      <c r="O2" s="751"/>
      <c r="P2" s="751"/>
      <c r="Q2" s="751"/>
    </row>
    <row r="3" spans="1:29" ht="48">
      <c r="A3" s="2246" t="s">
        <v>2280</v>
      </c>
      <c r="B3" s="2263" t="s">
        <v>2249</v>
      </c>
      <c r="C3" s="2264" t="s">
        <v>2281</v>
      </c>
      <c r="D3" s="2265"/>
      <c r="E3" s="2247" t="s">
        <v>2280</v>
      </c>
      <c r="F3" s="2266" t="s">
        <v>2250</v>
      </c>
      <c r="G3" s="2267" t="s">
        <v>2282</v>
      </c>
      <c r="H3" s="751"/>
      <c r="I3" s="751"/>
      <c r="J3" s="751"/>
      <c r="K3" s="751"/>
      <c r="L3" s="751"/>
      <c r="M3" s="751"/>
      <c r="N3" s="751"/>
      <c r="O3" s="751"/>
      <c r="P3" s="751"/>
      <c r="Q3" s="751"/>
    </row>
    <row r="4" spans="1:29" ht="37.200000000000003">
      <c r="A4" s="2247"/>
      <c r="B4" s="315" t="s">
        <v>2251</v>
      </c>
      <c r="C4" s="2268" t="s">
        <v>2252</v>
      </c>
      <c r="D4" s="2265"/>
      <c r="E4" s="2269"/>
      <c r="F4" s="1280" t="s">
        <v>2253</v>
      </c>
      <c r="G4" s="2270" t="s">
        <v>2254</v>
      </c>
      <c r="H4" s="751"/>
      <c r="I4" s="751"/>
      <c r="J4" s="751"/>
      <c r="K4" s="751"/>
      <c r="L4" s="751"/>
      <c r="M4" s="751"/>
      <c r="N4" s="751"/>
      <c r="O4" s="751"/>
      <c r="P4" s="751"/>
      <c r="Q4" s="751"/>
    </row>
    <row r="5" spans="1:29" ht="37.200000000000003">
      <c r="A5" s="2247"/>
      <c r="B5" s="315" t="s">
        <v>2255</v>
      </c>
      <c r="C5" s="2268" t="s">
        <v>2256</v>
      </c>
      <c r="D5" s="2265"/>
      <c r="E5" s="2269"/>
      <c r="F5" s="315" t="s">
        <v>2257</v>
      </c>
      <c r="G5" s="2270" t="s">
        <v>2258</v>
      </c>
      <c r="H5" s="751"/>
      <c r="I5" s="751"/>
      <c r="J5" s="751"/>
      <c r="K5" s="751"/>
      <c r="L5" s="751"/>
      <c r="M5" s="751"/>
      <c r="N5" s="751"/>
      <c r="O5" s="751"/>
      <c r="P5" s="751"/>
      <c r="Q5" s="751"/>
    </row>
    <row r="6" spans="1:29" ht="48">
      <c r="A6" s="2247"/>
      <c r="B6" s="315" t="s">
        <v>2259</v>
      </c>
      <c r="C6" s="2270" t="s">
        <v>2254</v>
      </c>
      <c r="D6" s="2265"/>
      <c r="E6" s="2269"/>
      <c r="F6" s="315" t="s">
        <v>2260</v>
      </c>
      <c r="G6" s="2270" t="s">
        <v>2261</v>
      </c>
      <c r="H6" s="751"/>
      <c r="I6" s="751"/>
      <c r="J6" s="751"/>
      <c r="K6" s="751"/>
      <c r="L6" s="751"/>
      <c r="M6" s="751"/>
      <c r="N6" s="751"/>
      <c r="O6" s="751"/>
      <c r="P6" s="751"/>
      <c r="Q6" s="751"/>
    </row>
    <row r="7" spans="1:29" ht="36.6" thickBot="1">
      <c r="A7" s="2247"/>
      <c r="B7" s="315" t="s">
        <v>2257</v>
      </c>
      <c r="C7" s="2270" t="s">
        <v>2258</v>
      </c>
      <c r="D7" s="2244"/>
      <c r="E7" s="2271"/>
      <c r="F7" s="2272" t="s">
        <v>2262</v>
      </c>
      <c r="G7" s="2273" t="s">
        <v>2263</v>
      </c>
      <c r="H7" s="751"/>
      <c r="I7" s="751"/>
      <c r="J7" s="751"/>
      <c r="K7" s="751"/>
      <c r="L7" s="751"/>
      <c r="M7" s="751"/>
      <c r="N7" s="751"/>
      <c r="O7" s="751"/>
      <c r="P7" s="751"/>
      <c r="Q7" s="751"/>
    </row>
    <row r="8" spans="1:29" ht="24">
      <c r="A8" s="2247"/>
      <c r="B8" s="315" t="s">
        <v>2260</v>
      </c>
      <c r="C8" s="2270" t="s">
        <v>2261</v>
      </c>
      <c r="D8" s="2244"/>
      <c r="E8" s="2244"/>
      <c r="F8" s="121"/>
      <c r="G8" s="121"/>
      <c r="H8" s="751"/>
      <c r="I8" s="751"/>
      <c r="J8" s="751"/>
      <c r="K8" s="751"/>
      <c r="L8" s="751"/>
      <c r="M8" s="751"/>
      <c r="N8" s="751"/>
      <c r="O8" s="751"/>
      <c r="P8" s="751"/>
      <c r="Q8" s="751"/>
    </row>
    <row r="9" spans="1:29" ht="24">
      <c r="A9" s="2247"/>
      <c r="B9" s="315" t="s">
        <v>2264</v>
      </c>
      <c r="C9" s="2268" t="s">
        <v>2265</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9.6">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9.6">
      <c r="A17" s="2251"/>
      <c r="B17" s="2290" t="s">
        <v>2255</v>
      </c>
      <c r="C17" s="2291" t="str">
        <f>C5</f>
        <v>估价对象位于XX商圈，周边办公楼项目较多，入驻率高，办公集聚程度较好</v>
      </c>
      <c r="D17" s="2244"/>
      <c r="E17" s="2252"/>
      <c r="F17" s="2292" t="s">
        <v>2272</v>
      </c>
      <c r="G17" s="2294"/>
    </row>
    <row r="18" spans="1:17" ht="52.8">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6.4">
      <c r="A19" s="2251"/>
      <c r="B19" s="2292" t="s">
        <v>2273</v>
      </c>
      <c r="C19" s="2294"/>
      <c r="D19" s="2265"/>
      <c r="E19" s="2252"/>
      <c r="F19" s="315" t="s">
        <v>2257</v>
      </c>
      <c r="G19" s="2293" t="str">
        <f>G5</f>
        <v>估价对象所在区域公共配套设施齐备情况</v>
      </c>
    </row>
    <row r="20" spans="1:17" ht="26.4">
      <c r="A20" s="2251"/>
      <c r="B20" s="2292" t="s">
        <v>2274</v>
      </c>
      <c r="C20" s="2291" t="str">
        <f>C9</f>
        <v>区域自然环境：；人文环境；综合评价环境状况一般</v>
      </c>
      <c r="D20" s="2244"/>
      <c r="E20" s="2252"/>
      <c r="F20" s="315" t="s">
        <v>2260</v>
      </c>
      <c r="G20" s="2293" t="str">
        <f>G6</f>
        <v>估价对象所在区域基础设施水平</v>
      </c>
    </row>
    <row r="21" spans="1:17" ht="26.4">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51" customFormat="1" ht="14.4" thickBot="1">
      <c r="A23" s="2251"/>
      <c r="B23" s="2292" t="s">
        <v>2275</v>
      </c>
      <c r="C23" s="2295"/>
      <c r="D23" s="1613"/>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40" sqref="G40"/>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893.15</v>
      </c>
      <c r="C1" s="2459"/>
      <c r="D1" s="2459"/>
      <c r="E1" s="2459"/>
      <c r="F1" s="2459"/>
      <c r="G1" s="2460"/>
      <c r="H1" s="2460"/>
      <c r="I1" s="2460"/>
      <c r="J1" s="2460"/>
      <c r="K1" s="2460"/>
    </row>
    <row r="2" spans="1:11" ht="16.2">
      <c r="A2" s="2299" t="s">
        <v>653</v>
      </c>
      <c r="B2" s="2299">
        <f>SUM(C14:C23)</f>
        <v>0</v>
      </c>
      <c r="C2" s="2459"/>
      <c r="D2" s="2459"/>
      <c r="E2" s="2459"/>
      <c r="F2" s="2459"/>
      <c r="G2" s="2460"/>
      <c r="H2" s="2460"/>
      <c r="I2" s="2460"/>
      <c r="J2" s="2460"/>
      <c r="K2" s="2460"/>
    </row>
    <row r="3" spans="1:11" ht="15.6">
      <c r="A3" s="2299" t="s">
        <v>662</v>
      </c>
      <c r="B3" s="2301">
        <f>项目基本情况!D3</f>
        <v>45649</v>
      </c>
      <c r="C3" s="2459"/>
      <c r="D3" s="2459"/>
      <c r="E3" s="2459"/>
      <c r="F3" s="2459"/>
      <c r="G3" s="2460"/>
      <c r="H3" s="2460"/>
      <c r="I3" s="2460"/>
      <c r="J3" s="2460"/>
      <c r="K3" s="2460"/>
    </row>
    <row r="4" spans="1:11" ht="31.2">
      <c r="A4" s="2299" t="s">
        <v>661</v>
      </c>
      <c r="B4" s="2299" t="s">
        <v>660</v>
      </c>
      <c r="C4" s="2299" t="s">
        <v>659</v>
      </c>
      <c r="D4" s="2299" t="s">
        <v>658</v>
      </c>
      <c r="E4" s="2459"/>
      <c r="F4" s="2460"/>
      <c r="G4" s="2460"/>
      <c r="H4" s="2460"/>
      <c r="I4" s="2460"/>
      <c r="J4" s="2460"/>
      <c r="K4" s="2460"/>
    </row>
    <row r="5" spans="1:11" ht="15.6">
      <c r="A5" s="2299" t="s">
        <v>657</v>
      </c>
      <c r="B5" s="2299">
        <f ca="1">SUM(D14:D23)</f>
        <v>2620</v>
      </c>
      <c r="C5" s="2299">
        <f ca="1">IF(B5=D14,结果表!H102,ROUND(B5*10000/$B$1,0))</f>
        <v>28279</v>
      </c>
      <c r="D5" s="2299" t="e">
        <f ca="1">ROUND(B5*10000/$B$2,0)</f>
        <v>#DIV/0!</v>
      </c>
      <c r="E5" s="2459"/>
      <c r="F5" s="2460"/>
      <c r="G5" s="2460"/>
      <c r="H5" s="2460"/>
      <c r="I5" s="2460"/>
      <c r="J5" s="2460"/>
      <c r="K5" s="2460"/>
    </row>
    <row r="6" spans="1:11" ht="15.6">
      <c r="A6" s="2299" t="s">
        <v>656</v>
      </c>
      <c r="B6" s="2299">
        <f ca="1">SUM(G14:G23)</f>
        <v>2620</v>
      </c>
      <c r="C6" s="2299">
        <f ca="1">IF(B6=G14,结果表!H108,ROUND(B6*10000/$B$1,0))</f>
        <v>28279</v>
      </c>
      <c r="D6" s="2299" t="e">
        <f ca="1">ROUND(B6*10000/$B$2,0)</f>
        <v>#DIV/0!</v>
      </c>
      <c r="E6" s="2459"/>
      <c r="F6" s="2460"/>
      <c r="G6" s="2460"/>
      <c r="H6" s="2460"/>
      <c r="I6" s="2460"/>
      <c r="J6" s="2460"/>
      <c r="K6" s="2460"/>
    </row>
    <row r="7" spans="1:11" ht="15.6">
      <c r="A7" s="2299" t="s">
        <v>664</v>
      </c>
      <c r="B7" s="2299">
        <f>SUM(H14:H23)</f>
        <v>0</v>
      </c>
      <c r="C7" s="2299" t="str">
        <f>IF(B7=H14,结果表!H110,ROUND(B7*10000/$B$1,0))</f>
        <v>——</v>
      </c>
      <c r="D7" s="2299" t="e">
        <f>ROUND(B7*10000/$B$2,0)</f>
        <v>#DIV/0!</v>
      </c>
      <c r="E7" s="2459"/>
      <c r="F7" s="2460"/>
      <c r="G7" s="2460"/>
      <c r="H7" s="2460"/>
      <c r="I7" s="2460"/>
      <c r="J7" s="2460"/>
      <c r="K7" s="2460"/>
    </row>
    <row r="8" spans="1:11" ht="15.6">
      <c r="A8" s="2299" t="s">
        <v>587</v>
      </c>
      <c r="B8" s="2299">
        <f ca="1">SUM(I14:I23)</f>
        <v>2619</v>
      </c>
      <c r="C8" s="2299">
        <f ca="1">IF(B8=I14,结果表!H112,ROUND(B8*10000/$B$1,0))</f>
        <v>29323</v>
      </c>
      <c r="D8" s="2299" t="e">
        <f ca="1">ROUND(B8*10000/$B$2,0)</f>
        <v>#DIV/0!</v>
      </c>
      <c r="E8" s="2459"/>
      <c r="F8" s="2460"/>
      <c r="G8" s="2460"/>
      <c r="H8" s="2460"/>
      <c r="I8" s="2460"/>
      <c r="J8" s="2460"/>
      <c r="K8" s="2460"/>
    </row>
    <row r="9" spans="1:11" ht="15.6">
      <c r="A9" s="2299" t="s">
        <v>655</v>
      </c>
      <c r="B9" s="1244"/>
      <c r="C9" s="2459"/>
      <c r="D9" s="2459"/>
      <c r="E9" s="2459"/>
      <c r="F9" s="2460"/>
      <c r="G9" s="2460"/>
      <c r="H9" s="2460"/>
      <c r="I9" s="2460"/>
      <c r="J9" s="2460"/>
      <c r="K9" s="2460"/>
    </row>
    <row r="10" spans="1:11" ht="15.6">
      <c r="A10" s="2299" t="s">
        <v>654</v>
      </c>
      <c r="B10" s="2299">
        <f>IF(E10="",0,ROUND(B1*(E10*365/G10)/10000,0))</f>
        <v>0</v>
      </c>
      <c r="C10" s="2299" t="s">
        <v>3355</v>
      </c>
      <c r="D10" s="2299" t="s">
        <v>3356</v>
      </c>
      <c r="E10" s="3134"/>
      <c r="F10" s="3138" t="s">
        <v>3357</v>
      </c>
      <c r="G10" s="3135"/>
      <c r="H10" s="2460"/>
      <c r="I10" s="2460"/>
      <c r="J10" s="2460"/>
      <c r="K10" s="2460"/>
    </row>
    <row r="11" spans="1:11" ht="15.6">
      <c r="A11" s="2299"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2" t="s">
        <v>669</v>
      </c>
      <c r="B13" s="2303" t="s">
        <v>666</v>
      </c>
      <c r="C13" s="2303" t="s">
        <v>668</v>
      </c>
      <c r="D13" s="2303" t="s">
        <v>667</v>
      </c>
      <c r="E13" s="2299" t="s">
        <v>659</v>
      </c>
      <c r="F13" s="2299" t="s">
        <v>658</v>
      </c>
      <c r="G13" s="2303" t="s">
        <v>652</v>
      </c>
      <c r="H13" s="2303" t="s">
        <v>663</v>
      </c>
      <c r="I13" s="2303" t="s">
        <v>651</v>
      </c>
      <c r="J13" s="2460"/>
      <c r="K13" s="2460"/>
    </row>
    <row r="14" spans="1:11" ht="15.6">
      <c r="A14" s="2304" t="s">
        <v>650</v>
      </c>
      <c r="B14" s="2305">
        <f>典型户型修正!B22</f>
        <v>893.15</v>
      </c>
      <c r="C14" s="2305"/>
      <c r="D14" s="2305">
        <f ca="1">典型户型修正!S22</f>
        <v>2620</v>
      </c>
      <c r="E14" s="2305">
        <f ca="1">ROUND(D14*10000/B14,0)</f>
        <v>29334</v>
      </c>
      <c r="F14" s="2305" t="e">
        <f ca="1">ROUND(D14*10000/C14,0)</f>
        <v>#DIV/0!</v>
      </c>
      <c r="G14" s="2305">
        <f ca="1">D14</f>
        <v>2620</v>
      </c>
      <c r="H14" s="2305"/>
      <c r="I14" s="2305">
        <f ca="1">结果表!N59</f>
        <v>2619</v>
      </c>
      <c r="J14" s="2460"/>
      <c r="K14" s="2460"/>
    </row>
    <row r="15" spans="1:11" ht="15.6">
      <c r="A15" s="2304" t="s">
        <v>649</v>
      </c>
      <c r="B15" s="2306"/>
      <c r="C15" s="2306"/>
      <c r="D15" s="2306"/>
      <c r="E15" s="2305" t="e">
        <f t="shared" ref="E15:E23" si="0">ROUND(D15*10000/B15,0)</f>
        <v>#DIV/0!</v>
      </c>
      <c r="F15" s="2305" t="e">
        <f t="shared" ref="F15:F23" si="1">ROUND(D15*10000/C15,0)</f>
        <v>#DIV/0!</v>
      </c>
      <c r="G15" s="1244"/>
      <c r="H15" s="1244"/>
      <c r="I15" s="2306"/>
      <c r="J15" s="2460"/>
      <c r="K15" s="2460"/>
    </row>
    <row r="16" spans="1:11" ht="15.6">
      <c r="A16" s="2304" t="s">
        <v>648</v>
      </c>
      <c r="B16" s="2306"/>
      <c r="C16" s="2306"/>
      <c r="D16" s="2306"/>
      <c r="E16" s="2305" t="e">
        <f t="shared" si="0"/>
        <v>#DIV/0!</v>
      </c>
      <c r="F16" s="2305" t="e">
        <f t="shared" si="1"/>
        <v>#DIV/0!</v>
      </c>
      <c r="G16" s="1244"/>
      <c r="H16" s="1244"/>
      <c r="I16" s="2306"/>
      <c r="J16" s="2460"/>
      <c r="K16" s="2460"/>
    </row>
    <row r="17" spans="1:11" ht="15.6">
      <c r="A17" s="2304" t="s">
        <v>647</v>
      </c>
      <c r="B17" s="2306"/>
      <c r="C17" s="2306"/>
      <c r="D17" s="2306"/>
      <c r="E17" s="2305" t="e">
        <f t="shared" si="0"/>
        <v>#DIV/0!</v>
      </c>
      <c r="F17" s="2305" t="e">
        <f t="shared" si="1"/>
        <v>#DIV/0!</v>
      </c>
      <c r="G17" s="1244"/>
      <c r="H17" s="1244"/>
      <c r="I17" s="2306"/>
      <c r="J17" s="2460"/>
      <c r="K17" s="2460"/>
    </row>
    <row r="18" spans="1:11" ht="15.6">
      <c r="A18" s="2304" t="s">
        <v>646</v>
      </c>
      <c r="B18" s="2306"/>
      <c r="C18" s="2306"/>
      <c r="D18" s="2306"/>
      <c r="E18" s="2305" t="e">
        <f t="shared" si="0"/>
        <v>#DIV/0!</v>
      </c>
      <c r="F18" s="2305" t="e">
        <f t="shared" si="1"/>
        <v>#DIV/0!</v>
      </c>
      <c r="G18" s="2306"/>
      <c r="H18" s="2306"/>
      <c r="I18" s="2306"/>
      <c r="J18" s="2460"/>
      <c r="K18" s="2460"/>
    </row>
    <row r="19" spans="1:11" ht="15.6">
      <c r="A19" s="2304" t="s">
        <v>645</v>
      </c>
      <c r="B19" s="2306"/>
      <c r="C19" s="2306"/>
      <c r="D19" s="2306"/>
      <c r="E19" s="2305" t="e">
        <f t="shared" si="0"/>
        <v>#DIV/0!</v>
      </c>
      <c r="F19" s="2305" t="e">
        <f t="shared" si="1"/>
        <v>#DIV/0!</v>
      </c>
      <c r="G19" s="2306"/>
      <c r="H19" s="2306"/>
      <c r="I19" s="2306"/>
      <c r="J19" s="2460"/>
      <c r="K19" s="2460"/>
    </row>
    <row r="20" spans="1:11" ht="15.6">
      <c r="A20" s="2304" t="s">
        <v>644</v>
      </c>
      <c r="B20" s="2306"/>
      <c r="C20" s="2306"/>
      <c r="D20" s="2306"/>
      <c r="E20" s="2305" t="e">
        <f t="shared" si="0"/>
        <v>#DIV/0!</v>
      </c>
      <c r="F20" s="2305" t="e">
        <f t="shared" si="1"/>
        <v>#DIV/0!</v>
      </c>
      <c r="G20" s="2306"/>
      <c r="H20" s="2306"/>
      <c r="I20" s="2306"/>
      <c r="J20" s="2460"/>
      <c r="K20" s="2460"/>
    </row>
    <row r="21" spans="1:11" ht="15.6">
      <c r="A21" s="2304" t="s">
        <v>643</v>
      </c>
      <c r="B21" s="2306"/>
      <c r="C21" s="2306"/>
      <c r="D21" s="2306"/>
      <c r="E21" s="2305" t="e">
        <f t="shared" si="0"/>
        <v>#DIV/0!</v>
      </c>
      <c r="F21" s="2305" t="e">
        <f t="shared" si="1"/>
        <v>#DIV/0!</v>
      </c>
      <c r="G21" s="2306"/>
      <c r="H21" s="2306"/>
      <c r="I21" s="2306"/>
      <c r="J21" s="2460"/>
      <c r="K21" s="2460"/>
    </row>
    <row r="22" spans="1:11" ht="15.6">
      <c r="A22" s="2304" t="s">
        <v>642</v>
      </c>
      <c r="B22" s="2306"/>
      <c r="C22" s="2306"/>
      <c r="D22" s="2306"/>
      <c r="E22" s="2305" t="e">
        <f t="shared" si="0"/>
        <v>#DIV/0!</v>
      </c>
      <c r="F22" s="2305" t="e">
        <f t="shared" si="1"/>
        <v>#DIV/0!</v>
      </c>
      <c r="G22" s="2306"/>
      <c r="H22" s="2306"/>
      <c r="I22" s="2306"/>
      <c r="J22" s="2460"/>
      <c r="K22" s="2460"/>
    </row>
    <row r="23" spans="1:11" ht="15.6">
      <c r="A23" s="2304" t="s">
        <v>641</v>
      </c>
      <c r="B23" s="2306"/>
      <c r="C23" s="2306"/>
      <c r="D23" s="2306"/>
      <c r="E23" s="1244" t="e">
        <f t="shared" si="0"/>
        <v>#DIV/0!</v>
      </c>
      <c r="F23" s="1244" t="e">
        <f t="shared" si="1"/>
        <v>#DIV/0!</v>
      </c>
      <c r="G23" s="2306"/>
      <c r="H23" s="2306"/>
      <c r="I23" s="2306"/>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DF8E-B79C-4A13-B49F-BF846400FAA2}">
  <sheetPr>
    <tabColor rgb="FFFF0000"/>
  </sheetPr>
  <dimension ref="A1:AJ512"/>
  <sheetViews>
    <sheetView view="pageBreakPreview" topLeftCell="A46" zoomScaleNormal="100" zoomScaleSheetLayoutView="100" zoomScalePageLayoutView="80" workbookViewId="0">
      <selection activeCell="D56" sqref="D5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v>1511</v>
      </c>
      <c r="D1" s="646"/>
      <c r="E1" s="646"/>
      <c r="F1" s="1620" t="s">
        <v>1263</v>
      </c>
      <c r="G1" s="1452" t="s">
        <v>3393</v>
      </c>
      <c r="H1" s="1620" t="str">
        <f>IF(G1="现房","——","估价对象范围")</f>
        <v>——</v>
      </c>
      <c r="I1" s="1621"/>
    </row>
    <row r="2" spans="1:12" ht="21.75" customHeight="1" thickBot="1">
      <c r="A2" s="3328" t="str">
        <f>项目基本情况!S2</f>
        <v>北京市朝阳区东三环南路98号1幢房地产</v>
      </c>
      <c r="B2" s="3329"/>
      <c r="C2" s="3329"/>
      <c r="D2" s="3329"/>
      <c r="E2" s="3329"/>
      <c r="F2" s="3329"/>
      <c r="G2" s="3329"/>
      <c r="H2" s="3329"/>
      <c r="I2" s="3330"/>
    </row>
    <row r="3" spans="1:12" ht="13.2">
      <c r="A3" s="3332" t="s">
        <v>1264</v>
      </c>
      <c r="B3" s="3333"/>
      <c r="C3" s="3333"/>
      <c r="D3" s="3333"/>
      <c r="E3" s="3333"/>
      <c r="F3" s="3333"/>
      <c r="G3" s="3333"/>
      <c r="H3" s="3333"/>
      <c r="I3" s="3333"/>
    </row>
    <row r="4" spans="1:12" ht="14.4">
      <c r="A4" s="1623" t="s">
        <v>1265</v>
      </c>
      <c r="B4" s="1624" t="s">
        <v>1266</v>
      </c>
      <c r="C4" s="1625" t="s">
        <v>3509</v>
      </c>
      <c r="D4" s="1625" t="s">
        <v>3444</v>
      </c>
      <c r="E4" s="3337" t="s">
        <v>1267</v>
      </c>
      <c r="F4" s="3338"/>
      <c r="G4" s="3338"/>
      <c r="H4" s="3338"/>
      <c r="I4" s="3339"/>
      <c r="K4" s="138" t="str">
        <f>IF(ISNUMBER(FIND("比较法",结果表1511!C4)),"比较法",IF(ISNUMBER(FIND("成本法",结果表1511!C4)),"成本法",IF(ISNUMBER(FIND("假设开发法",结果表1511!C4)),"假设开发法",IF(ISNUMBER(FIND("收益法",结果表1511!C4)),"收益法","基准地价系数修正法"))))</f>
        <v>比较法</v>
      </c>
      <c r="L4" s="138" t="str">
        <f>IF(ISNUMBER(FIND("比较法",结果表1511!D4)),"比较法",IF(ISNUMBER(FIND("成本法",结果表1511!D4)),"成本法",IF(ISNUMBER(FIND("假设开发法",结果表1511!D4)),"假设开发法",IF(ISNUMBER(FIND("收益法",结果表1511!D4)),"收益法","基准地价系数修正法"))))</f>
        <v>收益法</v>
      </c>
    </row>
    <row r="5" spans="1:12" ht="13.2">
      <c r="A5" s="3276" t="s">
        <v>1268</v>
      </c>
      <c r="B5" s="3331">
        <v>25</v>
      </c>
      <c r="C5" s="3334"/>
      <c r="D5" s="3322"/>
      <c r="E5" s="123" t="s">
        <v>1269</v>
      </c>
      <c r="F5" s="1626"/>
      <c r="G5" s="1626"/>
      <c r="H5" s="1626"/>
      <c r="I5" s="1280"/>
    </row>
    <row r="6" spans="1:12" ht="13.2">
      <c r="A6" s="3276"/>
      <c r="B6" s="3331"/>
      <c r="C6" s="3336"/>
      <c r="D6" s="3322"/>
      <c r="E6" s="123" t="s">
        <v>1270</v>
      </c>
      <c r="F6" s="1626"/>
      <c r="G6" s="1626"/>
      <c r="H6" s="1626"/>
      <c r="I6" s="1280"/>
    </row>
    <row r="7" spans="1:12" ht="13.2">
      <c r="A7" s="3276"/>
      <c r="B7" s="3331"/>
      <c r="C7" s="3335"/>
      <c r="D7" s="3322"/>
      <c r="E7" s="123" t="s">
        <v>1271</v>
      </c>
      <c r="F7" s="1626"/>
      <c r="G7" s="1626"/>
      <c r="H7" s="1626"/>
      <c r="I7" s="1280"/>
    </row>
    <row r="8" spans="1:12" ht="13.2">
      <c r="A8" s="3276" t="s">
        <v>1272</v>
      </c>
      <c r="B8" s="3331">
        <v>15</v>
      </c>
      <c r="C8" s="3334"/>
      <c r="D8" s="3322"/>
      <c r="E8" s="123" t="s">
        <v>1273</v>
      </c>
      <c r="F8" s="1626"/>
      <c r="G8" s="1626"/>
      <c r="H8" s="1626"/>
      <c r="I8" s="1280"/>
    </row>
    <row r="9" spans="1:12" ht="13.2">
      <c r="A9" s="3276"/>
      <c r="B9" s="3331"/>
      <c r="C9" s="3335"/>
      <c r="D9" s="3322"/>
      <c r="E9" s="123" t="s">
        <v>1274</v>
      </c>
      <c r="F9" s="1626"/>
      <c r="G9" s="1626"/>
      <c r="H9" s="1626"/>
      <c r="I9" s="1280"/>
    </row>
    <row r="10" spans="1:12" ht="13.2">
      <c r="A10" s="3276" t="s">
        <v>1275</v>
      </c>
      <c r="B10" s="3331">
        <v>15</v>
      </c>
      <c r="C10" s="3334"/>
      <c r="D10" s="3322"/>
      <c r="E10" s="123" t="s">
        <v>1276</v>
      </c>
      <c r="F10" s="1626"/>
      <c r="G10" s="1626"/>
      <c r="H10" s="1626"/>
      <c r="I10" s="1280"/>
    </row>
    <row r="11" spans="1:12" ht="13.2">
      <c r="A11" s="3276"/>
      <c r="B11" s="3331"/>
      <c r="C11" s="3335"/>
      <c r="D11" s="3322"/>
      <c r="E11" s="123" t="s">
        <v>1277</v>
      </c>
      <c r="F11" s="1626"/>
      <c r="G11" s="1626"/>
      <c r="H11" s="1626"/>
      <c r="I11" s="1280"/>
    </row>
    <row r="12" spans="1:12" ht="13.2">
      <c r="A12" s="3276" t="s">
        <v>1278</v>
      </c>
      <c r="B12" s="3331">
        <v>15</v>
      </c>
      <c r="C12" s="3334"/>
      <c r="D12" s="3322"/>
      <c r="E12" s="123" t="s">
        <v>1279</v>
      </c>
      <c r="F12" s="1626"/>
      <c r="G12" s="1626"/>
      <c r="H12" s="1626"/>
      <c r="I12" s="1280"/>
    </row>
    <row r="13" spans="1:12" ht="13.2">
      <c r="A13" s="3276"/>
      <c r="B13" s="3331"/>
      <c r="C13" s="3335"/>
      <c r="D13" s="3322"/>
      <c r="E13" s="123" t="s">
        <v>1280</v>
      </c>
      <c r="F13" s="1626"/>
      <c r="G13" s="1626"/>
      <c r="H13" s="1626"/>
      <c r="I13" s="1280"/>
    </row>
    <row r="14" spans="1:12" ht="13.2">
      <c r="A14" s="3276" t="s">
        <v>1281</v>
      </c>
      <c r="B14" s="3331">
        <v>30</v>
      </c>
      <c r="C14" s="3334">
        <v>7</v>
      </c>
      <c r="D14" s="3322">
        <v>3</v>
      </c>
      <c r="E14" s="123" t="s">
        <v>1282</v>
      </c>
      <c r="F14" s="1626"/>
      <c r="G14" s="1626"/>
      <c r="H14" s="1626"/>
      <c r="I14" s="1280"/>
    </row>
    <row r="15" spans="1:12" ht="13.2">
      <c r="A15" s="3276"/>
      <c r="B15" s="3331"/>
      <c r="C15" s="3336"/>
      <c r="D15" s="3322"/>
      <c r="E15" s="123" t="s">
        <v>1283</v>
      </c>
      <c r="F15" s="1626"/>
      <c r="G15" s="1626"/>
      <c r="H15" s="1626"/>
      <c r="I15" s="1280"/>
    </row>
    <row r="16" spans="1:12" ht="13.2">
      <c r="A16" s="3276"/>
      <c r="B16" s="3331"/>
      <c r="C16" s="3335"/>
      <c r="D16" s="3322"/>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353" t="s">
        <v>2128</v>
      </c>
      <c r="F18" s="3354"/>
      <c r="G18" s="3354"/>
      <c r="H18" s="3354"/>
      <c r="I18" s="3354"/>
      <c r="K18" s="294" t="s">
        <v>1289</v>
      </c>
      <c r="L18" s="294">
        <f>IF(C1="",'数据-汇总表'!E3,SUMIF(项目类型,C1,'数据-汇总表'!E17:E26)+SUMIF(项目类型,C1,'数据-汇总表'!I17:I26))</f>
        <v>179.5</v>
      </c>
      <c r="M18" s="294">
        <f>IF(C1="",'数据-汇总表'!E3,SUMIF(项目类型,C1,'数据-汇总表'!E17:E26))</f>
        <v>179.5</v>
      </c>
    </row>
    <row r="19" spans="1:36" ht="14.4">
      <c r="A19" s="1629" t="s">
        <v>1290</v>
      </c>
      <c r="B19" s="1630" t="s">
        <v>1291</v>
      </c>
      <c r="C19" s="126">
        <f ca="1">SUMIF(INDIRECT("'"&amp;C4&amp;"'"&amp;"!A:A"),结果表1511!B19,INDIRECT("'"&amp;C4&amp;"'"&amp;"!B:B"))</f>
        <v>571.97680000000003</v>
      </c>
      <c r="D19" s="127">
        <f ca="1">SUMIF(INDIRECT("'"&amp;D4&amp;"'"&amp;"!A:A"),结果表1511!B19,INDIRECT("'"&amp;D4&amp;"'"&amp;"!B:B"))</f>
        <v>357.4246</v>
      </c>
      <c r="E19" s="1629" t="s">
        <v>1292</v>
      </c>
      <c r="F19" s="1630" t="s">
        <v>1291</v>
      </c>
      <c r="G19" s="128">
        <f ca="1">ROUND(C19*$C$18+D19*$D$18,0)</f>
        <v>508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SUMIF(INDIRECT("'"&amp;C4&amp;"'"&amp;"!A:A"),结果表1511!B20,INDIRECT("'"&amp;C4&amp;"'"&amp;"!B:B"))</f>
        <v>31865</v>
      </c>
      <c r="D20" s="130">
        <f ca="1">SUMIF(INDIRECT("'"&amp;D4&amp;"'"&amp;"!A:A"),结果表1511!B20,INDIRECT("'"&amp;D4&amp;"'"&amp;"!B:B"))</f>
        <v>19912</v>
      </c>
      <c r="E20" s="1632"/>
      <c r="F20" s="43" t="s">
        <v>1295</v>
      </c>
      <c r="G20" s="131">
        <f ca="1">ROUND(C20*$C$18+D20*$D$18,0)</f>
        <v>28279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0.60027261693794998</v>
      </c>
      <c r="E22" s="121"/>
      <c r="F22" s="121"/>
      <c r="G22" s="121"/>
      <c r="H22" s="121"/>
      <c r="I22" s="121"/>
    </row>
    <row r="23" spans="1:36" ht="13.8" thickBot="1">
      <c r="A23" s="646"/>
      <c r="B23" s="646"/>
      <c r="C23" s="646"/>
      <c r="D23" s="646"/>
      <c r="E23" s="121"/>
      <c r="F23" s="121"/>
      <c r="G23" s="3164" t="s">
        <v>3528</v>
      </c>
      <c r="H23" s="121">
        <f ca="1">N59</f>
        <v>507.75</v>
      </c>
      <c r="I23" s="121"/>
    </row>
    <row r="24" spans="1:36" ht="14.4">
      <c r="A24" s="3346" t="s">
        <v>1299</v>
      </c>
      <c r="B24" s="1630" t="s">
        <v>1291</v>
      </c>
      <c r="C24" s="128">
        <f>IF(B30=0,0,D30)</f>
        <v>0</v>
      </c>
      <c r="D24" s="1636"/>
      <c r="E24" s="121"/>
      <c r="F24" s="121"/>
      <c r="G24" s="3164" t="s">
        <v>3529</v>
      </c>
      <c r="H24" s="121">
        <f ca="1">N61</f>
        <v>5685</v>
      </c>
      <c r="I24" s="121"/>
    </row>
    <row r="25" spans="1:36" ht="14.4">
      <c r="A25" s="334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 customHeight="1" thickTop="1" thickBot="1">
      <c r="A31" s="2127"/>
      <c r="B31" s="2128"/>
      <c r="C31" s="2128"/>
      <c r="D31" s="2128"/>
      <c r="E31" s="2128"/>
      <c r="F31" s="2128"/>
      <c r="G31" s="2128"/>
      <c r="H31" s="2128"/>
      <c r="I31" s="2129" t="s">
        <v>2130</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28279</v>
      </c>
      <c r="D32" s="1640" t="s">
        <v>3511</v>
      </c>
      <c r="E32" s="121"/>
      <c r="F32" s="121"/>
      <c r="G32" s="121"/>
      <c r="H32" s="121"/>
      <c r="I32" s="121"/>
    </row>
    <row r="33" spans="1:15" ht="14.4">
      <c r="A33" s="740" t="s">
        <v>1306</v>
      </c>
      <c r="B33" s="123"/>
      <c r="C33" s="1641" t="s">
        <v>3512</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23" t="s">
        <v>1312</v>
      </c>
      <c r="B36" s="1651" t="s">
        <v>1313</v>
      </c>
      <c r="C36" s="137"/>
      <c r="D36" s="1652"/>
      <c r="E36" s="1566"/>
      <c r="F36" s="1653"/>
      <c r="G36" s="121"/>
      <c r="H36" s="121"/>
      <c r="I36" s="121"/>
    </row>
    <row r="37" spans="1:15" ht="15" thickBot="1">
      <c r="A37" s="3324"/>
      <c r="B37" s="1554" t="s">
        <v>1314</v>
      </c>
      <c r="C37" s="139"/>
      <c r="D37" s="1071"/>
      <c r="E37" s="1071"/>
      <c r="F37" s="1653"/>
      <c r="G37" s="121"/>
      <c r="H37" s="121"/>
      <c r="I37" s="121"/>
    </row>
    <row r="38" spans="1:15" ht="15" thickBot="1">
      <c r="A38" s="3325"/>
      <c r="B38" s="1654" t="s">
        <v>1315</v>
      </c>
      <c r="C38" s="641"/>
      <c r="D38" s="1655" t="s">
        <v>1316</v>
      </c>
      <c r="E38" s="1071"/>
      <c r="F38" s="1653"/>
      <c r="G38" s="121"/>
      <c r="H38" s="121"/>
      <c r="I38" s="121"/>
    </row>
    <row r="39" spans="1:15" ht="14.4">
      <c r="A39" s="1632" t="s">
        <v>1317</v>
      </c>
      <c r="B39" s="1656" t="s">
        <v>1301</v>
      </c>
      <c r="C39" s="1657" t="s">
        <v>1302</v>
      </c>
      <c r="D39" s="1657" t="s">
        <v>1320</v>
      </c>
      <c r="E39" s="1658" t="s">
        <v>1303</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3" t="s">
        <v>1326</v>
      </c>
      <c r="B45" s="3344"/>
      <c r="C45" s="3345"/>
      <c r="D45" s="3159">
        <f ca="1">典型户型修正!S24</f>
        <v>508</v>
      </c>
      <c r="E45" s="148" t="s">
        <v>1327</v>
      </c>
      <c r="F45" s="149">
        <v>1</v>
      </c>
      <c r="G45" s="150" t="s">
        <v>1328</v>
      </c>
      <c r="H45" s="121"/>
      <c r="I45" s="121"/>
      <c r="J45" s="3262" t="s">
        <v>1329</v>
      </c>
      <c r="K45" s="3262"/>
      <c r="L45" s="3262"/>
      <c r="M45" s="3262"/>
      <c r="N45" s="3262"/>
      <c r="O45" s="3262"/>
    </row>
    <row r="46" spans="1:15" ht="14.25" customHeight="1">
      <c r="A46" s="3340" t="s">
        <v>1330</v>
      </c>
      <c r="B46" s="3341"/>
      <c r="C46" s="3341"/>
      <c r="D46" s="3341"/>
      <c r="E46" s="3341"/>
      <c r="F46" s="3341"/>
      <c r="G46" s="3342"/>
      <c r="H46" s="1667"/>
      <c r="I46" s="151"/>
      <c r="J46" s="2309">
        <v>1</v>
      </c>
      <c r="K46" s="3263" t="s">
        <v>1331</v>
      </c>
      <c r="L46" s="3263"/>
      <c r="M46" s="3264"/>
      <c r="N46" s="3264"/>
      <c r="O46" s="3264"/>
    </row>
    <row r="47" spans="1:15" ht="12" customHeight="1">
      <c r="A47" s="152" t="s">
        <v>1332</v>
      </c>
      <c r="B47" s="153"/>
      <c r="C47" s="154"/>
      <c r="D47" s="1024" t="s">
        <v>1333</v>
      </c>
      <c r="E47" s="294" t="s">
        <v>1334</v>
      </c>
      <c r="F47" s="155" t="s">
        <v>1335</v>
      </c>
      <c r="G47" s="2331" t="s">
        <v>1336</v>
      </c>
      <c r="H47" s="2332"/>
      <c r="I47" s="151"/>
      <c r="J47" s="2309">
        <v>2</v>
      </c>
      <c r="K47" s="3263" t="s">
        <v>1337</v>
      </c>
      <c r="L47" s="3263"/>
      <c r="M47" s="3265">
        <f>'数据-取费表'!B2</f>
        <v>45649</v>
      </c>
      <c r="N47" s="3265"/>
      <c r="O47" s="3265"/>
    </row>
    <row r="48" spans="1:15" ht="39.6">
      <c r="A48" s="3326" t="s">
        <v>1338</v>
      </c>
      <c r="B48" s="3327"/>
      <c r="C48" s="3327"/>
      <c r="D48" s="12">
        <f ca="1">IF(H48="情况1",0,IF(H48="情况2",D52,IF(H48="情况3",D53,IF(H48="情况4",D54))))</f>
        <v>0</v>
      </c>
      <c r="E48" s="1255" t="str">
        <f>IF(H48="情况4","(销售额-原购置价)×税（费）率","销售额×税（费）率")</f>
        <v>(销售额-原购置价)×税（费）率</v>
      </c>
      <c r="F48" s="2333">
        <f>IF(H48="情况1","免征",'数据-取费表'!B41)</f>
        <v>5.6000000000000001E-2</v>
      </c>
      <c r="G48" s="2334" t="s">
        <v>1339</v>
      </c>
      <c r="H48" s="2335" t="s">
        <v>3523</v>
      </c>
      <c r="I48" s="1667"/>
      <c r="J48" s="2309">
        <v>3</v>
      </c>
      <c r="K48" s="3263" t="s">
        <v>1340</v>
      </c>
      <c r="L48" s="3263"/>
      <c r="M48" s="3266">
        <f ca="1">D45</f>
        <v>508</v>
      </c>
      <c r="N48" s="3266"/>
      <c r="O48" s="3266"/>
    </row>
    <row r="49" spans="1:35" ht="25.5" customHeight="1">
      <c r="A49" s="2151" t="s">
        <v>1341</v>
      </c>
      <c r="B49" s="3312" t="s">
        <v>1342</v>
      </c>
      <c r="C49" s="3312"/>
      <c r="D49" s="1477">
        <v>0</v>
      </c>
      <c r="E49" s="316" t="s">
        <v>1343</v>
      </c>
      <c r="F49" s="2232" t="s">
        <v>28</v>
      </c>
      <c r="G49" s="3295"/>
      <c r="H49" s="2133" t="s">
        <v>2131</v>
      </c>
      <c r="I49" s="2134"/>
      <c r="J49" s="2309">
        <v>4</v>
      </c>
      <c r="K49" s="3263" t="str">
        <f>IF(项目基本情况!E8="房地产抵押价值","房地产抵押价值","抵押担保权已注销时的房地产抵押价值")</f>
        <v>房地产抵押价值</v>
      </c>
      <c r="L49" s="3263"/>
      <c r="M49" s="3267">
        <f ca="1">D45</f>
        <v>508</v>
      </c>
      <c r="N49" s="3267"/>
      <c r="O49" s="3267"/>
    </row>
    <row r="50" spans="1:35" ht="25.5" customHeight="1">
      <c r="A50" s="2336"/>
      <c r="B50" s="3312" t="s">
        <v>1344</v>
      </c>
      <c r="C50" s="3312"/>
      <c r="D50" s="2188"/>
      <c r="E50" s="323"/>
      <c r="F50" s="2232"/>
      <c r="G50" s="3296"/>
      <c r="H50" s="2135" t="s">
        <v>2132</v>
      </c>
      <c r="I50" s="2134"/>
      <c r="J50" s="3262" t="s">
        <v>1345</v>
      </c>
      <c r="K50" s="3262"/>
      <c r="L50" s="3262"/>
      <c r="M50" s="3262"/>
      <c r="N50" s="3262"/>
      <c r="O50" s="3262"/>
    </row>
    <row r="51" spans="1:35" ht="20.399999999999999" customHeight="1">
      <c r="A51" s="2337"/>
      <c r="B51" s="3312" t="s">
        <v>1346</v>
      </c>
      <c r="C51" s="3312"/>
      <c r="D51" s="1024"/>
      <c r="E51" s="319"/>
      <c r="F51" s="2232"/>
      <c r="G51" s="3297"/>
      <c r="H51" s="2135" t="s">
        <v>2133</v>
      </c>
      <c r="I51" s="2134"/>
      <c r="J51" s="2310" t="s">
        <v>1347</v>
      </c>
      <c r="K51" s="3263" t="s">
        <v>1348</v>
      </c>
      <c r="L51" s="3263"/>
      <c r="M51" s="2310" t="s">
        <v>1349</v>
      </c>
      <c r="N51" s="2310" t="s">
        <v>1350</v>
      </c>
      <c r="O51" s="2310" t="s">
        <v>1351</v>
      </c>
    </row>
    <row r="52" spans="1:35" ht="24" customHeight="1">
      <c r="A52" s="2152" t="s">
        <v>1352</v>
      </c>
      <c r="B52" s="3312" t="s">
        <v>1353</v>
      </c>
      <c r="C52" s="3312"/>
      <c r="D52" s="1024">
        <f ca="1">ROUND(D45*'数据-取费表'!B41/(1+'数据-取费表'!C42),0)</f>
        <v>27</v>
      </c>
      <c r="E52" s="1255" t="s">
        <v>1354</v>
      </c>
      <c r="F52" s="2338">
        <f>'数据-取费表'!B41</f>
        <v>5.6000000000000001E-2</v>
      </c>
      <c r="G52" s="2339"/>
      <c r="H52" s="2329"/>
      <c r="I52" s="1668"/>
      <c r="J52" s="2309">
        <v>1</v>
      </c>
      <c r="K52" s="3289" t="s">
        <v>1355</v>
      </c>
      <c r="L52" s="3289"/>
      <c r="M52" s="2311">
        <f ca="1">D48</f>
        <v>0</v>
      </c>
      <c r="N52" s="2309" t="str">
        <f>E48</f>
        <v>(销售额-原购置价)×税（费）率</v>
      </c>
      <c r="O52" s="2312">
        <f>F48</f>
        <v>5.6000000000000001E-2</v>
      </c>
    </row>
    <row r="53" spans="1:35" ht="12" customHeight="1">
      <c r="A53" s="2152" t="s">
        <v>1356</v>
      </c>
      <c r="B53" s="3313" t="s">
        <v>2288</v>
      </c>
      <c r="C53" s="3314"/>
      <c r="D53" s="1024">
        <f ca="1">ROUND(D45*'数据-取费表'!B41/(1+'数据-取费表'!C42),0)</f>
        <v>27</v>
      </c>
      <c r="E53" s="1255" t="s">
        <v>1354</v>
      </c>
      <c r="F53" s="2338">
        <f>'数据-取费表'!B41</f>
        <v>5.6000000000000001E-2</v>
      </c>
      <c r="G53" s="2339"/>
      <c r="H53" s="2329"/>
      <c r="I53" s="1668"/>
      <c r="J53" s="2309">
        <v>2</v>
      </c>
      <c r="K53" s="3289" t="s">
        <v>1357</v>
      </c>
      <c r="L53" s="3289"/>
      <c r="M53" s="2311">
        <f t="shared" ref="M53:O54" ca="1" si="0">D55</f>
        <v>0.25</v>
      </c>
      <c r="N53" s="2309" t="str">
        <f t="shared" si="0"/>
        <v>销售额×税（费）率</v>
      </c>
      <c r="O53" s="2312">
        <f t="shared" si="0"/>
        <v>5.0000000000000001E-4</v>
      </c>
    </row>
    <row r="54" spans="1:35" ht="12" customHeight="1">
      <c r="A54" s="2152" t="s">
        <v>1358</v>
      </c>
      <c r="B54" s="3313" t="s">
        <v>2289</v>
      </c>
      <c r="C54" s="3314"/>
      <c r="D54" s="1024">
        <f ca="1">C68</f>
        <v>0</v>
      </c>
      <c r="E54" s="319" t="s">
        <v>1359</v>
      </c>
      <c r="F54" s="2338">
        <f>'数据-取费表'!B41</f>
        <v>5.6000000000000001E-2</v>
      </c>
      <c r="G54" s="2339"/>
      <c r="H54" s="2340"/>
      <c r="I54" s="1668"/>
      <c r="J54" s="2309">
        <v>3</v>
      </c>
      <c r="K54" s="3289" t="s">
        <v>1360</v>
      </c>
      <c r="L54" s="3289"/>
      <c r="M54" s="2311">
        <f t="shared" ca="1" si="0"/>
        <v>0</v>
      </c>
      <c r="N54" s="2309" t="str">
        <f t="shared" si="0"/>
        <v>增值额×税（费）率</v>
      </c>
      <c r="O54" s="2313" t="str">
        <f t="shared" si="0"/>
        <v>——</v>
      </c>
    </row>
    <row r="55" spans="1:35" ht="24" customHeight="1">
      <c r="A55" s="3349" t="s">
        <v>1361</v>
      </c>
      <c r="B55" s="3327"/>
      <c r="C55" s="3327"/>
      <c r="D55" s="12">
        <f ca="1">IF(H55="个人住宅",0,ROUND(D45*I55,2))</f>
        <v>0.25</v>
      </c>
      <c r="E55" s="1255" t="s">
        <v>1362</v>
      </c>
      <c r="F55" s="2338">
        <f>IF(H55="正常",I55,"免征")</f>
        <v>5.0000000000000001E-4</v>
      </c>
      <c r="G55" s="2339"/>
      <c r="H55" s="2335" t="s">
        <v>3450</v>
      </c>
      <c r="I55" s="157">
        <f>'数据-取费表'!B49</f>
        <v>5.0000000000000001E-4</v>
      </c>
      <c r="J55" s="2309" t="str">
        <f>IF(H59="非个人房产","",4)</f>
        <v/>
      </c>
      <c r="K55" s="3289" t="str">
        <f>IF(H59="非个人房产","——","个人所得税")</f>
        <v>——</v>
      </c>
      <c r="L55" s="3289"/>
      <c r="M55" s="2314" t="str">
        <f>D59</f>
        <v>——</v>
      </c>
      <c r="N55" s="1882" t="str">
        <f>E59</f>
        <v>——</v>
      </c>
      <c r="O55" s="2315" t="str">
        <f>F59</f>
        <v>——</v>
      </c>
    </row>
    <row r="56" spans="1:35" ht="25.2">
      <c r="A56" s="3349" t="s">
        <v>1363</v>
      </c>
      <c r="B56" s="3327"/>
      <c r="C56" s="3327"/>
      <c r="D56" s="12">
        <f ca="1">IF(H56="个人住宅",D57,D58)</f>
        <v>0</v>
      </c>
      <c r="E56" s="1255" t="s">
        <v>1364</v>
      </c>
      <c r="F56" s="2338" t="str">
        <f>IF(H56="正常",F58,"免征")</f>
        <v>——</v>
      </c>
      <c r="G56" s="2341" t="s">
        <v>1365</v>
      </c>
      <c r="H56" s="2342" t="s">
        <v>3450</v>
      </c>
      <c r="I56" s="1669"/>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3.2">
      <c r="A57" s="2152" t="s">
        <v>1341</v>
      </c>
      <c r="B57" s="3313" t="s">
        <v>1366</v>
      </c>
      <c r="C57" s="3314"/>
      <c r="D57" s="1477">
        <v>0</v>
      </c>
      <c r="E57" s="316" t="s">
        <v>1343</v>
      </c>
      <c r="F57" s="294"/>
      <c r="G57" s="2339"/>
      <c r="H57" s="2343"/>
      <c r="I57" s="1669"/>
      <c r="J57" s="3289">
        <f>IF(AND(J55="",J56=""),4,IF(项目基本情况!K6="上海银行",结果表1511!J56+1,结果表1511!J55+1))</f>
        <v>4</v>
      </c>
      <c r="K57" s="3289" t="s">
        <v>1367</v>
      </c>
      <c r="L57" s="2316" t="s">
        <v>1368</v>
      </c>
      <c r="M57" s="2317"/>
      <c r="N57" s="2318">
        <f ca="1">SUMIF(M52:M56,"&lt;9e307")</f>
        <v>0.25</v>
      </c>
      <c r="O57" s="2319"/>
      <c r="P57" s="2462">
        <f ca="1">N57/M49</f>
        <v>4.921259842519685E-4</v>
      </c>
    </row>
    <row r="58" spans="1:35" ht="25.2">
      <c r="A58" s="2152" t="s">
        <v>1352</v>
      </c>
      <c r="B58" s="3313" t="s">
        <v>1369</v>
      </c>
      <c r="C58" s="3312"/>
      <c r="D58" s="12">
        <f ca="1">IF(H58="转让取得",C81,C97)</f>
        <v>0</v>
      </c>
      <c r="E58" s="1255" t="s">
        <v>1364</v>
      </c>
      <c r="F58" s="294" t="s">
        <v>28</v>
      </c>
      <c r="G58" s="2339"/>
      <c r="H58" s="2342" t="s">
        <v>3524</v>
      </c>
      <c r="I58" s="1669"/>
      <c r="J58" s="3289"/>
      <c r="K58" s="3289"/>
      <c r="L58" s="2316" t="s">
        <v>1370</v>
      </c>
      <c r="M58" s="2320"/>
      <c r="N58" s="2321" t="str">
        <f ca="1">NUMBERSTRING(INT(N57*10000),2)&amp;"元整"</f>
        <v>贰仟伍佰元整</v>
      </c>
      <c r="O58" s="2322"/>
    </row>
    <row r="59" spans="1:35" ht="24.6" thickBot="1">
      <c r="A59" s="3293" t="s">
        <v>1371</v>
      </c>
      <c r="B59" s="3294"/>
      <c r="C59" s="329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3525</v>
      </c>
      <c r="I59" s="2136" t="s">
        <v>2134</v>
      </c>
      <c r="J59" s="3291">
        <f>J57+1</f>
        <v>5</v>
      </c>
      <c r="K59" s="3289" t="s">
        <v>1372</v>
      </c>
      <c r="L59" s="2309" t="s">
        <v>1368</v>
      </c>
      <c r="M59" s="2323"/>
      <c r="N59" s="2324">
        <f ca="1">M49-N57</f>
        <v>507.75</v>
      </c>
      <c r="O59" s="2325"/>
    </row>
    <row r="60" spans="1:35" ht="12" customHeight="1">
      <c r="A60" s="1670"/>
      <c r="B60" s="646"/>
      <c r="C60" s="646"/>
      <c r="D60" s="646"/>
      <c r="E60" s="1465"/>
      <c r="F60" s="1669"/>
      <c r="G60" s="1669"/>
      <c r="H60" s="151"/>
      <c r="I60" s="121"/>
      <c r="J60" s="3292"/>
      <c r="K60" s="3289"/>
      <c r="L60" s="2316" t="s">
        <v>1370</v>
      </c>
      <c r="M60" s="2320"/>
      <c r="N60" s="2321" t="str">
        <f ca="1">NUMBERSTRING(INT(N59*10000),2)&amp;"元整"</f>
        <v>伍佰零柒万柒仟伍佰元整</v>
      </c>
      <c r="O60" s="2322"/>
    </row>
    <row r="61" spans="1:35" ht="13.8" thickBot="1">
      <c r="A61" s="3348" t="s">
        <v>1373</v>
      </c>
      <c r="B61" s="3348"/>
      <c r="C61" s="3348"/>
      <c r="D61" s="3348"/>
      <c r="E61" s="3348"/>
      <c r="F61" s="1669"/>
      <c r="G61" s="1669"/>
      <c r="H61" s="151"/>
      <c r="I61" s="121"/>
      <c r="J61" s="2309">
        <f>J59+1</f>
        <v>6</v>
      </c>
      <c r="K61" s="3289" t="s">
        <v>1374</v>
      </c>
      <c r="L61" s="3289"/>
      <c r="M61" s="2326"/>
      <c r="N61" s="3165">
        <f ca="1">ROUND(N59*10000/面积清单!H9,0)</f>
        <v>5685</v>
      </c>
      <c r="O61" s="2327"/>
    </row>
    <row r="62" spans="1:35" ht="13.2">
      <c r="A62" s="3308" t="s">
        <v>1375</v>
      </c>
      <c r="B62" s="3309"/>
      <c r="C62" s="1864"/>
      <c r="D62" s="1864" t="s">
        <v>1376</v>
      </c>
      <c r="E62" s="158" t="s">
        <v>1377</v>
      </c>
      <c r="F62" s="1669"/>
      <c r="G62" s="1669"/>
      <c r="H62" s="151"/>
      <c r="I62" s="121"/>
    </row>
    <row r="63" spans="1:35" ht="13.2">
      <c r="A63" s="165" t="s">
        <v>330</v>
      </c>
      <c r="B63" s="159" t="s">
        <v>1378</v>
      </c>
      <c r="C63" s="2348">
        <f ca="1">ROUND((C64+C65)/(1+'数据-取费表'!C42),0)</f>
        <v>484</v>
      </c>
      <c r="D63" s="159"/>
      <c r="E63" s="160"/>
      <c r="F63" s="1669"/>
      <c r="G63" s="1669"/>
      <c r="H63" s="151"/>
      <c r="I63" s="121"/>
      <c r="J63" s="3272" t="s">
        <v>1379</v>
      </c>
      <c r="K63" s="1245" t="s">
        <v>1380</v>
      </c>
      <c r="L63" s="1245">
        <f ca="1">IF(M49&gt;10000,M49*0.5%,IF(AND(M49&gt;1000,M49&lt;=10000),M49*1%,IF(AND(M49&gt;100,M49&lt;=1000),M49*3%,IF(AND(M49&gt;10,M49&lt;=100),M49*5%,M49*8%))))</f>
        <v>15.24</v>
      </c>
      <c r="M63" s="294">
        <f ca="1">ROUND(L63,1)</f>
        <v>15.2</v>
      </c>
      <c r="N63" s="2328"/>
      <c r="Z63" s="1622"/>
      <c r="AI63" s="1560"/>
    </row>
    <row r="64" spans="1:35" ht="14.25" customHeight="1">
      <c r="A64" s="161" t="s">
        <v>325</v>
      </c>
      <c r="B64" s="162" t="s">
        <v>1381</v>
      </c>
      <c r="C64" s="2349">
        <f ca="1">D45</f>
        <v>508</v>
      </c>
      <c r="D64" s="162" t="s">
        <v>26</v>
      </c>
      <c r="E64" s="164"/>
      <c r="F64" s="1669"/>
      <c r="G64" s="1669"/>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3.5559999999999996</v>
      </c>
      <c r="M64" s="294">
        <f t="shared" ref="M64:M65" ca="1" si="1">ROUND(L64,1)</f>
        <v>3.6</v>
      </c>
      <c r="N64" s="2329" t="s">
        <v>1383</v>
      </c>
      <c r="Z64" s="1622"/>
      <c r="AI64" s="1560"/>
    </row>
    <row r="65" spans="1:35" ht="14.25" customHeight="1">
      <c r="A65" s="161" t="s">
        <v>326</v>
      </c>
      <c r="B65" s="162" t="s">
        <v>1384</v>
      </c>
      <c r="C65" s="2350"/>
      <c r="D65" s="162"/>
      <c r="E65" s="164"/>
      <c r="F65" s="1669"/>
      <c r="G65" s="1669"/>
      <c r="H65" s="151"/>
      <c r="I65" s="121"/>
      <c r="J65" s="3272"/>
      <c r="K65" s="1245" t="s">
        <v>1385</v>
      </c>
      <c r="L65" s="1245">
        <f ca="1">IF(M49&gt;1000,M49*0.1%,IF(AND(M49&gt;500,M49&lt;=1000),M49*0.5%,IF(AND(M49&gt;50,M49&lt;=500),M49*1%,IF(AND(M49&gt;1,M49&lt;=50),M49*1.5%))))</f>
        <v>2.54</v>
      </c>
      <c r="M65" s="294">
        <f t="shared" ca="1" si="1"/>
        <v>2.5</v>
      </c>
      <c r="N65" s="2329" t="s">
        <v>1383</v>
      </c>
      <c r="Z65" s="1622"/>
      <c r="AI65" s="1560"/>
    </row>
    <row r="66" spans="1:35" ht="14.25" customHeight="1">
      <c r="A66" s="165" t="s">
        <v>327</v>
      </c>
      <c r="B66" s="166" t="s">
        <v>1386</v>
      </c>
      <c r="C66" s="2351">
        <f>ROUND(面积清单!L9/1.05/10000,0)</f>
        <v>3481</v>
      </c>
      <c r="D66" s="166" t="s">
        <v>26</v>
      </c>
      <c r="E66" s="1250" t="s">
        <v>671</v>
      </c>
      <c r="F66" s="1669"/>
      <c r="G66" s="1669"/>
      <c r="H66" s="151"/>
      <c r="I66" s="121"/>
      <c r="J66" s="3272"/>
      <c r="K66" s="1245" t="s">
        <v>1387</v>
      </c>
      <c r="L66" s="1245">
        <f ca="1">M49*0.5%</f>
        <v>2.54</v>
      </c>
      <c r="M66" s="294">
        <f ca="1">IF(L66&gt;0.5,0.5,ROUND(L66,0))</f>
        <v>0.5</v>
      </c>
      <c r="N66" s="2329" t="s">
        <v>1388</v>
      </c>
      <c r="Z66" s="1622"/>
      <c r="AI66" s="1560"/>
    </row>
    <row r="67" spans="1:35" ht="14.25" customHeight="1">
      <c r="A67" s="165" t="s">
        <v>328</v>
      </c>
      <c r="B67" s="166" t="s">
        <v>1389</v>
      </c>
      <c r="C67" s="2352">
        <f ca="1">C63-C66</f>
        <v>-2997</v>
      </c>
      <c r="D67" s="162" t="s">
        <v>26</v>
      </c>
      <c r="E67" s="164"/>
      <c r="F67" s="1669"/>
      <c r="G67" s="1669"/>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1.52</v>
      </c>
      <c r="M67" s="294">
        <f ca="1">ROUND(L67*0.9,1)</f>
        <v>1.4</v>
      </c>
      <c r="N67" s="2328"/>
      <c r="Z67" s="1622"/>
      <c r="AI67" s="1560"/>
    </row>
    <row r="68" spans="1:35" ht="14.25" customHeight="1" thickBot="1">
      <c r="A68" s="168" t="s">
        <v>329</v>
      </c>
      <c r="B68" s="169" t="s">
        <v>1391</v>
      </c>
      <c r="C68" s="2353">
        <f ca="1">IF(C67&lt;=0,0,ROUND(C67*D68,0))</f>
        <v>0</v>
      </c>
      <c r="D68" s="2354">
        <f>'数据-取费表'!B41</f>
        <v>5.6000000000000001E-2</v>
      </c>
      <c r="E68" s="170"/>
      <c r="F68" s="1669"/>
      <c r="G68" s="1669"/>
      <c r="H68" s="151"/>
      <c r="I68" s="121"/>
      <c r="J68" s="3272"/>
      <c r="K68" s="1245" t="s">
        <v>1392</v>
      </c>
      <c r="L68" s="1245">
        <f ca="1">IF(M49&gt;10000,M49*0.5%,IF(AND(M49&gt;5000,M49&lt;=10000),M49*1%,IF(AND(M49&gt;1000,M49&lt;=5000),M49*2%,IF(AND(M49&gt;200,M49&lt;=1000),M49*3%,M49*5%))))</f>
        <v>15.24</v>
      </c>
      <c r="M68" s="294">
        <f ca="1">ROUND(L68,1)</f>
        <v>15.2</v>
      </c>
      <c r="N68" s="2328"/>
      <c r="Z68" s="1622"/>
      <c r="AI68" s="1560"/>
    </row>
    <row r="69" spans="1:35" ht="16.5" customHeight="1">
      <c r="A69" s="1671"/>
      <c r="B69" s="1672"/>
      <c r="C69" s="1673"/>
      <c r="D69" s="1674"/>
      <c r="E69" s="1675"/>
      <c r="F69" s="1465"/>
      <c r="G69" s="1465"/>
      <c r="H69" s="1466"/>
      <c r="I69" s="646"/>
      <c r="J69" s="3272"/>
      <c r="K69" s="1245" t="s">
        <v>1393</v>
      </c>
      <c r="L69" s="1245"/>
      <c r="M69" s="294">
        <f ca="1">ROUND(SUM(M63:M68),0)</f>
        <v>38</v>
      </c>
      <c r="N69" s="2330">
        <f ca="1">M69/M49</f>
        <v>7.4803149606299218E-2</v>
      </c>
      <c r="Z69" s="1622"/>
      <c r="AI69" s="1560"/>
    </row>
    <row r="70" spans="1:35" s="642" customFormat="1" ht="14.4" thickBot="1">
      <c r="A70" s="3316" t="s">
        <v>1394</v>
      </c>
      <c r="B70" s="3317"/>
      <c r="C70" s="3317"/>
      <c r="D70" s="3317"/>
      <c r="E70" s="3317"/>
      <c r="F70" s="3317"/>
      <c r="G70" s="3317"/>
      <c r="H70" s="331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08" t="s">
        <v>1375</v>
      </c>
      <c r="B71" s="330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2">
        <f ca="1">ROUND(D45/(1+'数据-取费表'!C42),0)</f>
        <v>484</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2">
        <f ca="1">C74+C78</f>
        <v>868</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865</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3168">
        <f>面积清单!L5/10000</f>
        <v>674.79750000000001</v>
      </c>
      <c r="D75" s="162" t="s">
        <v>26</v>
      </c>
      <c r="E75" s="176" t="s">
        <v>1399</v>
      </c>
      <c r="F75" s="2356" t="s">
        <v>3526</v>
      </c>
      <c r="G75" s="176" t="s">
        <v>1400</v>
      </c>
      <c r="H75" s="2357">
        <f>2024-2018</f>
        <v>6</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202</v>
      </c>
      <c r="D76" s="2358">
        <v>0.05</v>
      </c>
      <c r="E76" s="3313" t="s">
        <v>1402</v>
      </c>
      <c r="F76" s="3312"/>
      <c r="G76" s="3312"/>
      <c r="H76" s="331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20</v>
      </c>
      <c r="D77" s="2359">
        <f>'数据-取费表'!B48+'数据-取费表'!B49</f>
        <v>3.0499999999999999E-2</v>
      </c>
      <c r="E77" s="12" t="s">
        <v>1404</v>
      </c>
      <c r="F77" s="178"/>
      <c r="G77" s="1681" t="s">
        <v>3532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3</v>
      </c>
      <c r="D78" s="2361">
        <f>'数据-取费表'!B43</f>
        <v>6.000000000000001E-3</v>
      </c>
      <c r="E78" s="3305" t="s">
        <v>1406</v>
      </c>
      <c r="F78" s="3306"/>
      <c r="G78" s="3306"/>
      <c r="H78" s="33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328</v>
      </c>
      <c r="B79" s="166" t="s">
        <v>1407</v>
      </c>
      <c r="C79" s="2352">
        <f ca="1">C72-C73</f>
        <v>-384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6" t="s">
        <v>1410</v>
      </c>
      <c r="B83" s="3317"/>
      <c r="C83" s="3317"/>
      <c r="D83" s="3317"/>
      <c r="E83" s="3317"/>
      <c r="F83" s="3317"/>
      <c r="G83" s="3317"/>
      <c r="H83" s="331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08" t="s">
        <v>1375</v>
      </c>
      <c r="B84" s="330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2">
        <f ca="1">ROUND(D45/(1+'数据-取费表'!C42),0)</f>
        <v>484</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2">
        <f ca="1">IF(H88="仅含出让金",C87+C90+C91+C92+C93+C94,C87+C91+C92+C93+C94)</f>
        <v>3</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6"/>
      <c r="D88" s="2361"/>
      <c r="E88" s="185" t="s">
        <v>1413</v>
      </c>
      <c r="F88" s="2147"/>
      <c r="G88" s="186" t="s">
        <v>1414</v>
      </c>
      <c r="H88" s="1683"/>
      <c r="I88" s="1680"/>
      <c r="J88" s="2307"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6"/>
      <c r="D90" s="2361"/>
      <c r="E90" s="185" t="str">
        <f>IF(H88="-","土地取得成本中已包含该笔费用"," ")</f>
        <v xml:space="preserve"> </v>
      </c>
      <c r="F90" s="2147"/>
      <c r="G90" s="3274" t="s">
        <v>2126</v>
      </c>
      <c r="H90" s="3275"/>
      <c r="I90" s="1680"/>
      <c r="J90" s="2307"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305" t="s">
        <v>1419</v>
      </c>
      <c r="F91" s="3306"/>
      <c r="G91" s="330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05" t="s">
        <v>1422</v>
      </c>
      <c r="F92" s="3306"/>
      <c r="G92" s="3306"/>
      <c r="H92" s="3307"/>
      <c r="I92" s="1680"/>
      <c r="J92" s="2308"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3</v>
      </c>
      <c r="D93" s="2361">
        <f>'数据-取费表'!B43</f>
        <v>6.000000000000001E-3</v>
      </c>
      <c r="E93" s="3305" t="s">
        <v>1406</v>
      </c>
      <c r="F93" s="3306"/>
      <c r="G93" s="3306"/>
      <c r="H93" s="33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50" t="s">
        <v>1426</v>
      </c>
      <c r="F94" s="3351"/>
      <c r="G94" s="3351"/>
      <c r="H94" s="33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328</v>
      </c>
      <c r="B95" s="166" t="s">
        <v>1407</v>
      </c>
      <c r="C95" s="2352">
        <f ca="1">ROUND(C85-C86,0)</f>
        <v>481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f ca="1">IF(C95&lt;=0,0,C95/C86)</f>
        <v>160.33333333333334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3">
        <f ca="1">ROUND(IF(C95&lt;=0,0,IF(C96&gt;=200%,C95*60%-C86*35%,IF(C96&gt;=100%,C95*50%-C86*15%,IF(C96&gt;=50%,C95*40%-C86*5%,IF(C96&lt;50%,C95*30%,0))))),0)</f>
        <v>288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4" t="s">
        <v>1428</v>
      </c>
      <c r="B100" s="3255"/>
      <c r="C100" s="3255"/>
      <c r="D100" s="3290"/>
      <c r="E100" s="3255" t="s">
        <v>1429</v>
      </c>
      <c r="F100" s="3255"/>
      <c r="G100" s="3255"/>
      <c r="H100" s="3290"/>
      <c r="I100" s="121"/>
    </row>
    <row r="101" spans="1:35" ht="18.75" customHeight="1">
      <c r="A101" s="3298" t="s">
        <v>1430</v>
      </c>
      <c r="B101" s="3299"/>
      <c r="C101" s="2369" t="str">
        <f>C4</f>
        <v>比较法-办公</v>
      </c>
      <c r="D101" s="2370" t="str">
        <f>D4</f>
        <v>收益法 (元)</v>
      </c>
      <c r="E101" s="3268" t="s">
        <v>1431</v>
      </c>
      <c r="F101" s="3269"/>
      <c r="G101" s="1686" t="s">
        <v>1432</v>
      </c>
      <c r="H101" s="2379">
        <f ca="1">H118</f>
        <v>508</v>
      </c>
      <c r="I101" s="121"/>
    </row>
    <row r="102" spans="1:35" ht="18.75" customHeight="1">
      <c r="A102" s="3300" t="s">
        <v>1433</v>
      </c>
      <c r="B102" s="2368" t="s">
        <v>1432</v>
      </c>
      <c r="C102" s="2369">
        <f ca="1">IF(D32="楼面单价",ROUND(C19,0),C19)</f>
        <v>572</v>
      </c>
      <c r="D102" s="2370">
        <f ca="1">IF(D32="楼面单价",ROUND(D19,0),D19)</f>
        <v>357</v>
      </c>
      <c r="E102" s="3268"/>
      <c r="F102" s="3269"/>
      <c r="G102" s="1686" t="s">
        <v>1434</v>
      </c>
      <c r="H102" s="2339">
        <f ca="1">I118</f>
        <v>28279</v>
      </c>
      <c r="I102" s="121"/>
    </row>
    <row r="103" spans="1:35" ht="42.75" customHeight="1">
      <c r="A103" s="3300"/>
      <c r="B103" s="2368" t="s">
        <v>1434</v>
      </c>
      <c r="C103" s="2371">
        <f ca="1">C20</f>
        <v>31865</v>
      </c>
      <c r="D103" s="2372">
        <f ca="1">D20</f>
        <v>19912</v>
      </c>
      <c r="E103" s="3260" t="s">
        <v>1435</v>
      </c>
      <c r="F103" s="3261"/>
      <c r="G103" s="1687" t="s">
        <v>1436</v>
      </c>
      <c r="H103" s="2379">
        <f>IF(D36="正常操作",H104+H105+H106,H105+H106)</f>
        <v>0</v>
      </c>
      <c r="I103" s="121"/>
    </row>
    <row r="104" spans="1:35" ht="18.75" customHeight="1">
      <c r="A104" s="3300" t="s">
        <v>1437</v>
      </c>
      <c r="B104" s="2373" t="s">
        <v>1432</v>
      </c>
      <c r="C104" s="2374">
        <f ca="1">H118</f>
        <v>508</v>
      </c>
      <c r="D104" s="2375"/>
      <c r="E104" s="1554" t="s">
        <v>1438</v>
      </c>
      <c r="F104" s="1547"/>
      <c r="G104" s="1687" t="s">
        <v>1436</v>
      </c>
      <c r="H104" s="2380">
        <f>IF(D36="同一抵押权人同一抵押物续贷",C36&amp;"（续贷，未扣减，详见特别提示）",C36)</f>
        <v>0</v>
      </c>
      <c r="I104" s="121"/>
    </row>
    <row r="105" spans="1:35" ht="18.75" customHeight="1" thickBot="1">
      <c r="A105" s="3310"/>
      <c r="B105" s="2376" t="s">
        <v>1434</v>
      </c>
      <c r="C105" s="2377">
        <f ca="1">I118</f>
        <v>28279</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01" t="str">
        <f>IF(项目基本情况!E8="已注销","——","3.房地产抵押价值")</f>
        <v>3.房地产抵押价值</v>
      </c>
      <c r="F107" s="3269"/>
      <c r="G107" s="1686" t="s">
        <v>1432</v>
      </c>
      <c r="H107" s="2379">
        <f ca="1">IF(E107="——","——",H101-H103)</f>
        <v>508</v>
      </c>
      <c r="I107" s="121"/>
    </row>
    <row r="108" spans="1:35" ht="18.75" customHeight="1">
      <c r="A108" s="121"/>
      <c r="B108" s="121"/>
      <c r="C108" s="121"/>
      <c r="D108" s="121"/>
      <c r="E108" s="3301"/>
      <c r="F108" s="3269"/>
      <c r="G108" s="1686" t="s">
        <v>1434</v>
      </c>
      <c r="H108" s="2339">
        <f ca="1">IF(H107=H101,H102,ROUND(H107*10000/'数据-汇总表'!E3,0))</f>
        <v>28279</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6" t="s">
        <v>1432</v>
      </c>
      <c r="H109" s="2382" t="str">
        <f>IF(E109="——","——",H101-H105-H106)</f>
        <v>——</v>
      </c>
      <c r="I109" s="121"/>
    </row>
    <row r="110" spans="1:35" ht="18.75" customHeight="1">
      <c r="A110" s="121"/>
      <c r="B110" s="121"/>
      <c r="C110" s="121"/>
      <c r="D110" s="121"/>
      <c r="E110" s="3301"/>
      <c r="F110" s="3269"/>
      <c r="G110" s="1686" t="s">
        <v>1434</v>
      </c>
      <c r="H110" s="2339"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4.抵押净值</v>
      </c>
      <c r="F111" s="3288"/>
      <c r="G111" s="1686" t="s">
        <v>1432</v>
      </c>
      <c r="H111" s="2379">
        <f ca="1">IF(E111="——","——",N59)</f>
        <v>507.75</v>
      </c>
      <c r="I111" s="121"/>
    </row>
    <row r="112" spans="1:35" ht="18.75" customHeight="1" thickBot="1">
      <c r="A112" s="121"/>
      <c r="B112" s="121"/>
      <c r="C112" s="121"/>
      <c r="D112" s="121"/>
      <c r="E112" s="3303"/>
      <c r="F112" s="3304"/>
      <c r="G112" s="1689" t="s">
        <v>1434</v>
      </c>
      <c r="H112" s="2383">
        <f ca="1">IF(E111="——","——",N61)</f>
        <v>5685</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0"/>
      <c r="F114" s="1670"/>
      <c r="G114" s="1670"/>
      <c r="H114" s="1670"/>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49" t="s">
        <v>1449</v>
      </c>
      <c r="E117" s="2149" t="s">
        <v>1450</v>
      </c>
      <c r="F117" s="2149" t="s">
        <v>1449</v>
      </c>
      <c r="G117" s="2149" t="s">
        <v>1451</v>
      </c>
      <c r="H117" s="2149" t="s">
        <v>1449</v>
      </c>
      <c r="I117" s="2149" t="s">
        <v>1451</v>
      </c>
    </row>
    <row r="118" spans="1:27" ht="24.75" customHeight="1">
      <c r="A118" s="2384" t="str">
        <f>项目基本情况!S2</f>
        <v>北京市朝阳区东三环南路98号1幢房地产</v>
      </c>
      <c r="B118" s="2149">
        <f>M18</f>
        <v>179.5</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508</v>
      </c>
      <c r="I118" s="2149">
        <f ca="1">ROUND(IF(D32="楼面单价",C32,H118*10000/B118),0)</f>
        <v>28279</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伍佰零捌万元整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508</v>
      </c>
      <c r="E122" s="3278"/>
      <c r="F122" s="3278"/>
      <c r="G122" s="3278"/>
      <c r="H122" s="3278"/>
      <c r="I122" s="3279"/>
      <c r="AA122" s="684"/>
    </row>
    <row r="123" spans="1:27" ht="18.75" customHeight="1">
      <c r="A123" s="3276" t="s">
        <v>1452</v>
      </c>
      <c r="B123" s="3276"/>
      <c r="C123" s="3276"/>
      <c r="D123" s="3282" t="str">
        <f ca="1">NUMBERSTRING(INT(D122*10000),2)&amp;"元整"</f>
        <v>伍佰零捌万元整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抵押净值</v>
      </c>
      <c r="B126" s="3288"/>
      <c r="C126" s="3288"/>
      <c r="D126" s="3277">
        <f ca="1">H111</f>
        <v>507.75</v>
      </c>
      <c r="E126" s="3278"/>
      <c r="F126" s="3278"/>
      <c r="G126" s="3278"/>
      <c r="H126" s="3278"/>
      <c r="I126" s="3279"/>
      <c r="AA126" s="684"/>
    </row>
    <row r="127" spans="1:27" ht="18.75" customHeight="1">
      <c r="A127" s="3276" t="s">
        <v>1452</v>
      </c>
      <c r="B127" s="3276"/>
      <c r="C127" s="3276"/>
      <c r="D127" s="3282" t="str">
        <f ca="1">NUMBERSTRING(INT(D126*10000),2)&amp;"元整"</f>
        <v>伍佰零柒万柒仟伍佰元整</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D7">
    <cfRule type="cellIs" dxfId="180" priority="6" stopIfTrue="1" operator="equal">
      <formula>25</formula>
    </cfRule>
  </conditionalFormatting>
  <conditionalFormatting sqref="C8:D13">
    <cfRule type="cellIs" dxfId="179" priority="5" stopIfTrue="1" operator="equal">
      <formula>15</formula>
    </cfRule>
  </conditionalFormatting>
  <conditionalFormatting sqref="C14:D16">
    <cfRule type="cellIs" dxfId="178" priority="4" stopIfTrue="1" operator="equal">
      <formula>30</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D92" xr:uid="{8C2808AC-C99C-4585-9118-300415F2AD58}">
      <formula1>"0,5%,10%"</formula1>
    </dataValidation>
    <dataValidation type="list" allowBlank="1" showInputMessage="1" showErrorMessage="1" sqref="H59" xr:uid="{1727DCFA-4CDA-42BF-8584-0C9F1A894B2C}">
      <formula1>"非个人房产,个人住宅（满五唯一有凭证）,个人其他（有凭证）,个人其他（无凭证）"</formula1>
    </dataValidation>
    <dataValidation type="list" allowBlank="1" showInputMessage="1" showErrorMessage="1" sqref="E103" xr:uid="{BD187752-F3B7-4F21-BFF6-46E52504732F}">
      <formula1>"2.估价师知悉的法定优先受偿款,2.估价师知悉的除抵押担保权以外的法定优先受偿款"</formula1>
    </dataValidation>
    <dataValidation type="list" allowBlank="1" showInputMessage="1" showErrorMessage="1" sqref="G77" xr:uid="{966EDFB0-8F2E-4F9A-9F53-5AC6549DE8F2}">
      <formula1>"个人住宅,2016年5月1日前购买,2016年5月1日后购买"</formula1>
    </dataValidation>
    <dataValidation type="list" allowBlank="1" showInputMessage="1" showErrorMessage="1" sqref="C1" xr:uid="{19F42160-577D-41EB-BA8D-C20BDDAC35BE}">
      <formula1>项目类型</formula1>
    </dataValidation>
    <dataValidation type="list" allowBlank="1" showInputMessage="1" showErrorMessage="1" sqref="I1" xr:uid="{C252A35F-006A-4965-A466-AA4EA0C99AF8}">
      <formula1>"项目局部,项目全部,——"</formula1>
    </dataValidation>
    <dataValidation type="list" showInputMessage="1" showErrorMessage="1" sqref="G1" xr:uid="{2F0751D2-949B-41A2-9CC5-0F1896150EEA}">
      <formula1>"现房,在建,土地,-"</formula1>
    </dataValidation>
    <dataValidation type="list" allowBlank="1" showInputMessage="1" showErrorMessage="1" sqref="C129" xr:uid="{EA5D6B34-C1A1-4D1F-A7EA-2172B895A37A}">
      <formula1>"无,有"</formula1>
    </dataValidation>
    <dataValidation type="list" allowBlank="1" showInputMessage="1" showErrorMessage="1" sqref="F116:G116" xr:uid="{FE26B13D-0555-44A7-B2E3-8E1654F87B36}">
      <formula1>"建筑物价值,在建建筑物价值,建筑物/在建建筑物价值"</formula1>
    </dataValidation>
    <dataValidation type="list" allowBlank="1" showInputMessage="1" showErrorMessage="1" sqref="D116:E116" xr:uid="{D36DB567-F1AB-4996-A005-C094D4265913}">
      <formula1>"出让国有建设用地使用权价值,划拨国有建设用地使用权价值"</formula1>
    </dataValidation>
    <dataValidation type="list" allowBlank="1" showInputMessage="1" showErrorMessage="1" sqref="C116:C117" xr:uid="{9669D0FB-1668-44BA-AAF6-4D4C8A34A831}">
      <formula1>"土地面积,分摊土地面积,（分摊）土地面积"</formula1>
    </dataValidation>
    <dataValidation type="list" allowBlank="1" showInputMessage="1" showErrorMessage="1" sqref="B116:B117" xr:uid="{C30CAE11-76D4-48CA-AB04-B6D584DB9503}">
      <formula1>"建筑面积,规划建筑面积,（规划）建筑面积"</formula1>
    </dataValidation>
    <dataValidation type="list" allowBlank="1" showInputMessage="1" showErrorMessage="1" sqref="D36" xr:uid="{21D0F1ED-075B-4082-AC9D-93E111919943}">
      <formula1>"同一抵押权人同一抵押物续贷,注销后放款,正常操作"</formula1>
    </dataValidation>
    <dataValidation type="list" allowBlank="1" showInputMessage="1" showErrorMessage="1" sqref="F75" xr:uid="{D95C399B-350E-42D9-8160-F0E45BBC79A5}">
      <formula1>"买卖合同,购房发票"</formula1>
    </dataValidation>
    <dataValidation type="list" allowBlank="1" showInputMessage="1" showErrorMessage="1" sqref="H88" xr:uid="{6C2312E2-1DCE-4DD8-A061-EE3DC9177DBB}">
      <formula1>"仅含出让金,出让金+开发费"</formula1>
    </dataValidation>
    <dataValidation type="list" allowBlank="1" showInputMessage="1" showErrorMessage="1" sqref="H91" xr:uid="{1B91F677-2F46-45AB-87BC-22461138C3BA}">
      <formula1>"企业提供（在右侧录入）,——"</formula1>
    </dataValidation>
    <dataValidation type="list" allowBlank="1" showInputMessage="1" showErrorMessage="1" sqref="C33" xr:uid="{C098EB51-687C-4FF7-8B48-5A656066EE56}">
      <formula1>"成本比率,收益比率,自定义"</formula1>
    </dataValidation>
    <dataValidation type="list" allowBlank="1" showInputMessage="1" showErrorMessage="1" sqref="F45" xr:uid="{39270DE6-FCB4-4DC8-BAAC-631A0E3F132F}">
      <formula1>"100%,70%,56%"</formula1>
    </dataValidation>
    <dataValidation type="list" allowBlank="1" showInputMessage="1" showErrorMessage="1" sqref="D32" xr:uid="{406F6C3E-F864-45A7-8744-3E174A7658BF}">
      <formula1>"总价,楼面单价"</formula1>
    </dataValidation>
    <dataValidation type="list" allowBlank="1" showInputMessage="1" showErrorMessage="1" sqref="H58" xr:uid="{A9D9458C-8849-49E5-8E5A-D58A18E42535}">
      <formula1>"转让取得,自行开发建设"</formula1>
    </dataValidation>
    <dataValidation type="list" allowBlank="1" showInputMessage="1" showErrorMessage="1" sqref="H48" xr:uid="{D33C9183-7AC6-417C-9ED1-713934AD71AE}">
      <formula1>"情况1,情况2,情况3,情况4"</formula1>
    </dataValidation>
    <dataValidation type="list" allowBlank="1" showInputMessage="1" showErrorMessage="1" sqref="H55:H56" xr:uid="{11CFF257-5E7C-49AE-8D29-05DCE3663E2A}">
      <formula1>"个人住宅,正常"</formula1>
    </dataValidation>
    <dataValidation type="list" allowBlank="1" showInputMessage="1" showErrorMessage="1" sqref="C4:D4 D33" xr:uid="{88CC111E-E205-4E02-8C89-D86C63755C0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9DCA3-937F-4696-A0C2-288648AF2E23}">
  <sheetPr>
    <tabColor rgb="FFFF0000"/>
  </sheetPr>
  <dimension ref="A1:AJ512"/>
  <sheetViews>
    <sheetView view="pageBreakPreview" topLeftCell="A43" zoomScaleNormal="100" zoomScaleSheetLayoutView="100" zoomScalePageLayoutView="80" workbookViewId="0">
      <selection activeCell="D56" sqref="D5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v>1511</v>
      </c>
      <c r="D1" s="646"/>
      <c r="E1" s="646"/>
      <c r="F1" s="1620" t="s">
        <v>1263</v>
      </c>
      <c r="G1" s="1452" t="s">
        <v>3393</v>
      </c>
      <c r="H1" s="1620" t="str">
        <f>IF(G1="现房","——","估价对象范围")</f>
        <v>——</v>
      </c>
      <c r="I1" s="1621"/>
    </row>
    <row r="2" spans="1:12" ht="21.75" customHeight="1" thickBot="1">
      <c r="A2" s="3328" t="str">
        <f>项目基本情况!S2</f>
        <v>北京市朝阳区东三环南路98号1幢房地产</v>
      </c>
      <c r="B2" s="3329"/>
      <c r="C2" s="3329"/>
      <c r="D2" s="3329"/>
      <c r="E2" s="3329"/>
      <c r="F2" s="3329"/>
      <c r="G2" s="3329"/>
      <c r="H2" s="3329"/>
      <c r="I2" s="3330"/>
    </row>
    <row r="3" spans="1:12" ht="13.2">
      <c r="A3" s="3332" t="s">
        <v>1264</v>
      </c>
      <c r="B3" s="3333"/>
      <c r="C3" s="3333"/>
      <c r="D3" s="3333"/>
      <c r="E3" s="3333"/>
      <c r="F3" s="3333"/>
      <c r="G3" s="3333"/>
      <c r="H3" s="3333"/>
      <c r="I3" s="3333"/>
    </row>
    <row r="4" spans="1:12" ht="14.4">
      <c r="A4" s="1623" t="s">
        <v>1265</v>
      </c>
      <c r="B4" s="1624" t="s">
        <v>1266</v>
      </c>
      <c r="C4" s="1625" t="s">
        <v>3509</v>
      </c>
      <c r="D4" s="1625" t="s">
        <v>3444</v>
      </c>
      <c r="E4" s="3337" t="s">
        <v>1267</v>
      </c>
      <c r="F4" s="3338"/>
      <c r="G4" s="3338"/>
      <c r="H4" s="3338"/>
      <c r="I4" s="3339"/>
      <c r="K4" s="138" t="str">
        <f>IF(ISNUMBER(FIND("比较法",结果表712!C4)),"比较法",IF(ISNUMBER(FIND("成本法",结果表712!C4)),"成本法",IF(ISNUMBER(FIND("假设开发法",结果表712!C4)),"假设开发法",IF(ISNUMBER(FIND("收益法",结果表712!C4)),"收益法","基准地价系数修正法"))))</f>
        <v>比较法</v>
      </c>
      <c r="L4" s="138" t="str">
        <f>IF(ISNUMBER(FIND("比较法",结果表712!D4)),"比较法",IF(ISNUMBER(FIND("成本法",结果表712!D4)),"成本法",IF(ISNUMBER(FIND("假设开发法",结果表712!D4)),"假设开发法",IF(ISNUMBER(FIND("收益法",结果表712!D4)),"收益法","基准地价系数修正法"))))</f>
        <v>收益法</v>
      </c>
    </row>
    <row r="5" spans="1:12" ht="13.2">
      <c r="A5" s="3276" t="s">
        <v>1268</v>
      </c>
      <c r="B5" s="3331">
        <v>25</v>
      </c>
      <c r="C5" s="3334"/>
      <c r="D5" s="3322"/>
      <c r="E5" s="123" t="s">
        <v>1269</v>
      </c>
      <c r="F5" s="1626"/>
      <c r="G5" s="1626"/>
      <c r="H5" s="1626"/>
      <c r="I5" s="1280"/>
    </row>
    <row r="6" spans="1:12" ht="13.2">
      <c r="A6" s="3276"/>
      <c r="B6" s="3331"/>
      <c r="C6" s="3336"/>
      <c r="D6" s="3322"/>
      <c r="E6" s="123" t="s">
        <v>1270</v>
      </c>
      <c r="F6" s="1626"/>
      <c r="G6" s="1626"/>
      <c r="H6" s="1626"/>
      <c r="I6" s="1280"/>
    </row>
    <row r="7" spans="1:12" ht="13.2">
      <c r="A7" s="3276"/>
      <c r="B7" s="3331"/>
      <c r="C7" s="3335"/>
      <c r="D7" s="3322"/>
      <c r="E7" s="123" t="s">
        <v>1271</v>
      </c>
      <c r="F7" s="1626"/>
      <c r="G7" s="1626"/>
      <c r="H7" s="1626"/>
      <c r="I7" s="1280"/>
    </row>
    <row r="8" spans="1:12" ht="13.2">
      <c r="A8" s="3276" t="s">
        <v>1272</v>
      </c>
      <c r="B8" s="3331">
        <v>15</v>
      </c>
      <c r="C8" s="3334"/>
      <c r="D8" s="3322"/>
      <c r="E8" s="123" t="s">
        <v>1273</v>
      </c>
      <c r="F8" s="1626"/>
      <c r="G8" s="1626"/>
      <c r="H8" s="1626"/>
      <c r="I8" s="1280"/>
    </row>
    <row r="9" spans="1:12" ht="13.2">
      <c r="A9" s="3276"/>
      <c r="B9" s="3331"/>
      <c r="C9" s="3335"/>
      <c r="D9" s="3322"/>
      <c r="E9" s="123" t="s">
        <v>1274</v>
      </c>
      <c r="F9" s="1626"/>
      <c r="G9" s="1626"/>
      <c r="H9" s="1626"/>
      <c r="I9" s="1280"/>
    </row>
    <row r="10" spans="1:12" ht="13.2">
      <c r="A10" s="3276" t="s">
        <v>1275</v>
      </c>
      <c r="B10" s="3331">
        <v>15</v>
      </c>
      <c r="C10" s="3334"/>
      <c r="D10" s="3322"/>
      <c r="E10" s="123" t="s">
        <v>1276</v>
      </c>
      <c r="F10" s="1626"/>
      <c r="G10" s="1626"/>
      <c r="H10" s="1626"/>
      <c r="I10" s="1280"/>
    </row>
    <row r="11" spans="1:12" ht="13.2">
      <c r="A11" s="3276"/>
      <c r="B11" s="3331"/>
      <c r="C11" s="3335"/>
      <c r="D11" s="3322"/>
      <c r="E11" s="123" t="s">
        <v>1277</v>
      </c>
      <c r="F11" s="1626"/>
      <c r="G11" s="1626"/>
      <c r="H11" s="1626"/>
      <c r="I11" s="1280"/>
    </row>
    <row r="12" spans="1:12" ht="13.2">
      <c r="A12" s="3276" t="s">
        <v>1278</v>
      </c>
      <c r="B12" s="3331">
        <v>15</v>
      </c>
      <c r="C12" s="3334"/>
      <c r="D12" s="3322"/>
      <c r="E12" s="123" t="s">
        <v>1279</v>
      </c>
      <c r="F12" s="1626"/>
      <c r="G12" s="1626"/>
      <c r="H12" s="1626"/>
      <c r="I12" s="1280"/>
    </row>
    <row r="13" spans="1:12" ht="13.2">
      <c r="A13" s="3276"/>
      <c r="B13" s="3331"/>
      <c r="C13" s="3335"/>
      <c r="D13" s="3322"/>
      <c r="E13" s="123" t="s">
        <v>1280</v>
      </c>
      <c r="F13" s="1626"/>
      <c r="G13" s="1626"/>
      <c r="H13" s="1626"/>
      <c r="I13" s="1280"/>
    </row>
    <row r="14" spans="1:12" ht="13.2">
      <c r="A14" s="3276" t="s">
        <v>1281</v>
      </c>
      <c r="B14" s="3331">
        <v>30</v>
      </c>
      <c r="C14" s="3334">
        <v>7</v>
      </c>
      <c r="D14" s="3322">
        <v>3</v>
      </c>
      <c r="E14" s="123" t="s">
        <v>1282</v>
      </c>
      <c r="F14" s="1626"/>
      <c r="G14" s="1626"/>
      <c r="H14" s="1626"/>
      <c r="I14" s="1280"/>
    </row>
    <row r="15" spans="1:12" ht="13.2">
      <c r="A15" s="3276"/>
      <c r="B15" s="3331"/>
      <c r="C15" s="3336"/>
      <c r="D15" s="3322"/>
      <c r="E15" s="123" t="s">
        <v>1283</v>
      </c>
      <c r="F15" s="1626"/>
      <c r="G15" s="1626"/>
      <c r="H15" s="1626"/>
      <c r="I15" s="1280"/>
    </row>
    <row r="16" spans="1:12" ht="13.2">
      <c r="A16" s="3276"/>
      <c r="B16" s="3331"/>
      <c r="C16" s="3335"/>
      <c r="D16" s="3322"/>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353" t="s">
        <v>2128</v>
      </c>
      <c r="F18" s="3354"/>
      <c r="G18" s="3354"/>
      <c r="H18" s="3354"/>
      <c r="I18" s="3354"/>
      <c r="K18" s="294" t="s">
        <v>1289</v>
      </c>
      <c r="L18" s="294">
        <f>IF(C1="",'数据-汇总表'!E3,SUMIF(项目类型,C1,'数据-汇总表'!E17:E26)+SUMIF(项目类型,C1,'数据-汇总表'!I17:I26))</f>
        <v>179.5</v>
      </c>
      <c r="M18" s="294">
        <f>IF(C1="",'数据-汇总表'!E3,SUMIF(项目类型,C1,'数据-汇总表'!E17:E26))</f>
        <v>179.5</v>
      </c>
    </row>
    <row r="19" spans="1:36" ht="14.4">
      <c r="A19" s="1629" t="s">
        <v>1290</v>
      </c>
      <c r="B19" s="1630" t="s">
        <v>1291</v>
      </c>
      <c r="C19" s="126">
        <f ca="1">SUMIF(INDIRECT("'"&amp;C4&amp;"'"&amp;"!A:A"),结果表712!B19,INDIRECT("'"&amp;C4&amp;"'"&amp;"!B:B"))</f>
        <v>571.97680000000003</v>
      </c>
      <c r="D19" s="127">
        <f ca="1">SUMIF(INDIRECT("'"&amp;D4&amp;"'"&amp;"!A:A"),结果表712!B19,INDIRECT("'"&amp;D4&amp;"'"&amp;"!B:B"))</f>
        <v>357.4246</v>
      </c>
      <c r="E19" s="1629" t="s">
        <v>1292</v>
      </c>
      <c r="F19" s="1630" t="s">
        <v>1291</v>
      </c>
      <c r="G19" s="128">
        <f ca="1">ROUND(C19*$C$18+D19*$D$18,0)</f>
        <v>508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SUMIF(INDIRECT("'"&amp;C4&amp;"'"&amp;"!A:A"),结果表712!B20,INDIRECT("'"&amp;C4&amp;"'"&amp;"!B:B"))</f>
        <v>31865</v>
      </c>
      <c r="D20" s="130">
        <f ca="1">SUMIF(INDIRECT("'"&amp;D4&amp;"'"&amp;"!A:A"),结果表712!B20,INDIRECT("'"&amp;D4&amp;"'"&amp;"!B:B"))</f>
        <v>19912</v>
      </c>
      <c r="E20" s="1632"/>
      <c r="F20" s="43" t="s">
        <v>1295</v>
      </c>
      <c r="G20" s="131">
        <f ca="1">ROUND(C20*$C$18+D20*$D$18,0)</f>
        <v>28279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0.60027261693794998</v>
      </c>
      <c r="E22" s="121"/>
      <c r="F22" s="121"/>
      <c r="G22" s="121"/>
      <c r="H22" s="121"/>
      <c r="I22" s="121"/>
    </row>
    <row r="23" spans="1:36" ht="13.8" thickBot="1">
      <c r="A23" s="646"/>
      <c r="B23" s="646"/>
      <c r="C23" s="646"/>
      <c r="D23" s="646"/>
      <c r="E23" s="121"/>
      <c r="F23" s="121"/>
      <c r="G23" s="3164" t="s">
        <v>3528</v>
      </c>
      <c r="H23" s="121">
        <f ca="1">N59</f>
        <v>533.73</v>
      </c>
      <c r="I23" s="121"/>
    </row>
    <row r="24" spans="1:36" ht="14.4">
      <c r="A24" s="3346" t="s">
        <v>1299</v>
      </c>
      <c r="B24" s="1630" t="s">
        <v>1291</v>
      </c>
      <c r="C24" s="128">
        <f>IF(B30=0,0,D30)</f>
        <v>0</v>
      </c>
      <c r="D24" s="1636"/>
      <c r="E24" s="121"/>
      <c r="F24" s="121"/>
      <c r="G24" s="3164" t="s">
        <v>3529</v>
      </c>
      <c r="H24" s="121">
        <f ca="1">N61</f>
        <v>5976</v>
      </c>
      <c r="I24" s="121"/>
    </row>
    <row r="25" spans="1:36" ht="14.4">
      <c r="A25" s="334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 customHeight="1" thickTop="1" thickBot="1">
      <c r="A31" s="2127"/>
      <c r="B31" s="2128"/>
      <c r="C31" s="2128"/>
      <c r="D31" s="2128"/>
      <c r="E31" s="2128"/>
      <c r="F31" s="2128"/>
      <c r="G31" s="2128"/>
      <c r="H31" s="2128"/>
      <c r="I31" s="2129" t="s">
        <v>2130</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28279</v>
      </c>
      <c r="D32" s="1640" t="s">
        <v>3511</v>
      </c>
      <c r="E32" s="121"/>
      <c r="F32" s="121"/>
      <c r="G32" s="121"/>
      <c r="H32" s="121"/>
      <c r="I32" s="121"/>
    </row>
    <row r="33" spans="1:15" ht="14.4">
      <c r="A33" s="740" t="s">
        <v>1306</v>
      </c>
      <c r="B33" s="123"/>
      <c r="C33" s="1641" t="s">
        <v>3512</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23" t="s">
        <v>1312</v>
      </c>
      <c r="B36" s="1651" t="s">
        <v>1313</v>
      </c>
      <c r="C36" s="137"/>
      <c r="D36" s="1652"/>
      <c r="E36" s="1566"/>
      <c r="F36" s="1653"/>
      <c r="G36" s="121"/>
      <c r="H36" s="121"/>
      <c r="I36" s="121"/>
    </row>
    <row r="37" spans="1:15" ht="15" thickBot="1">
      <c r="A37" s="3324"/>
      <c r="B37" s="1554" t="s">
        <v>1314</v>
      </c>
      <c r="C37" s="139"/>
      <c r="D37" s="1071"/>
      <c r="E37" s="1071"/>
      <c r="F37" s="1653"/>
      <c r="G37" s="121"/>
      <c r="H37" s="121"/>
      <c r="I37" s="121"/>
    </row>
    <row r="38" spans="1:15" ht="15" thickBot="1">
      <c r="A38" s="3325"/>
      <c r="B38" s="1654" t="s">
        <v>1315</v>
      </c>
      <c r="C38" s="641"/>
      <c r="D38" s="1655" t="s">
        <v>1316</v>
      </c>
      <c r="E38" s="1071"/>
      <c r="F38" s="1653"/>
      <c r="G38" s="121"/>
      <c r="H38" s="121"/>
      <c r="I38" s="121"/>
    </row>
    <row r="39" spans="1:15" ht="14.4">
      <c r="A39" s="1632" t="s">
        <v>1317</v>
      </c>
      <c r="B39" s="1656" t="s">
        <v>1301</v>
      </c>
      <c r="C39" s="1657" t="s">
        <v>1302</v>
      </c>
      <c r="D39" s="1657" t="s">
        <v>1320</v>
      </c>
      <c r="E39" s="1658" t="s">
        <v>1303</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3" t="s">
        <v>1326</v>
      </c>
      <c r="B45" s="3344"/>
      <c r="C45" s="3345"/>
      <c r="D45" s="3159">
        <f ca="1">典型户型修正!S25</f>
        <v>534</v>
      </c>
      <c r="E45" s="148" t="s">
        <v>1327</v>
      </c>
      <c r="F45" s="149">
        <v>1</v>
      </c>
      <c r="G45" s="150" t="s">
        <v>1328</v>
      </c>
      <c r="H45" s="121"/>
      <c r="I45" s="121"/>
      <c r="J45" s="3262" t="s">
        <v>1329</v>
      </c>
      <c r="K45" s="3262"/>
      <c r="L45" s="3262"/>
      <c r="M45" s="3262"/>
      <c r="N45" s="3262"/>
      <c r="O45" s="3262"/>
    </row>
    <row r="46" spans="1:15" ht="14.25" customHeight="1">
      <c r="A46" s="3340" t="s">
        <v>1330</v>
      </c>
      <c r="B46" s="3341"/>
      <c r="C46" s="3341"/>
      <c r="D46" s="3341"/>
      <c r="E46" s="3341"/>
      <c r="F46" s="3341"/>
      <c r="G46" s="3342"/>
      <c r="H46" s="1667"/>
      <c r="I46" s="151"/>
      <c r="J46" s="2309">
        <v>1</v>
      </c>
      <c r="K46" s="3263" t="s">
        <v>1331</v>
      </c>
      <c r="L46" s="3263"/>
      <c r="M46" s="3264"/>
      <c r="N46" s="3264"/>
      <c r="O46" s="3264"/>
    </row>
    <row r="47" spans="1:15" ht="12" customHeight="1">
      <c r="A47" s="152" t="s">
        <v>1332</v>
      </c>
      <c r="B47" s="153"/>
      <c r="C47" s="154"/>
      <c r="D47" s="1024" t="s">
        <v>1333</v>
      </c>
      <c r="E47" s="294" t="s">
        <v>1334</v>
      </c>
      <c r="F47" s="155" t="s">
        <v>1335</v>
      </c>
      <c r="G47" s="2331" t="s">
        <v>1336</v>
      </c>
      <c r="H47" s="2332"/>
      <c r="I47" s="151"/>
      <c r="J47" s="2309">
        <v>2</v>
      </c>
      <c r="K47" s="3263" t="s">
        <v>1337</v>
      </c>
      <c r="L47" s="3263"/>
      <c r="M47" s="3265">
        <f>'数据-取费表'!B2</f>
        <v>45649</v>
      </c>
      <c r="N47" s="3265"/>
      <c r="O47" s="3265"/>
    </row>
    <row r="48" spans="1:15" ht="39.6">
      <c r="A48" s="3326" t="s">
        <v>1338</v>
      </c>
      <c r="B48" s="3327"/>
      <c r="C48" s="3327"/>
      <c r="D48" s="12">
        <f ca="1">IF(H48="情况1",0,IF(H48="情况2",D52,IF(H48="情况3",D53,IF(H48="情况4",D54))))</f>
        <v>0</v>
      </c>
      <c r="E48" s="1255" t="str">
        <f>IF(H48="情况4","(销售额-原购置价)×税（费）率","销售额×税（费）率")</f>
        <v>(销售额-原购置价)×税（费）率</v>
      </c>
      <c r="F48" s="2333">
        <f>IF(H48="情况1","免征",'数据-取费表'!B41)</f>
        <v>5.6000000000000001E-2</v>
      </c>
      <c r="G48" s="2334" t="s">
        <v>1339</v>
      </c>
      <c r="H48" s="2335" t="s">
        <v>3523</v>
      </c>
      <c r="I48" s="1667"/>
      <c r="J48" s="2309">
        <v>3</v>
      </c>
      <c r="K48" s="3263" t="s">
        <v>1340</v>
      </c>
      <c r="L48" s="3263"/>
      <c r="M48" s="3266">
        <f ca="1">D45</f>
        <v>534</v>
      </c>
      <c r="N48" s="3266"/>
      <c r="O48" s="3266"/>
    </row>
    <row r="49" spans="1:35" ht="25.5" customHeight="1">
      <c r="A49" s="2151" t="s">
        <v>1341</v>
      </c>
      <c r="B49" s="3312" t="s">
        <v>1342</v>
      </c>
      <c r="C49" s="3312"/>
      <c r="D49" s="1477">
        <v>0</v>
      </c>
      <c r="E49" s="316" t="s">
        <v>1343</v>
      </c>
      <c r="F49" s="2232" t="s">
        <v>28</v>
      </c>
      <c r="G49" s="3295"/>
      <c r="H49" s="2133" t="s">
        <v>2131</v>
      </c>
      <c r="I49" s="2134"/>
      <c r="J49" s="2309">
        <v>4</v>
      </c>
      <c r="K49" s="3263" t="str">
        <f>IF(项目基本情况!E8="房地产抵押价值","房地产抵押价值","抵押担保权已注销时的房地产抵押价值")</f>
        <v>房地产抵押价值</v>
      </c>
      <c r="L49" s="3263"/>
      <c r="M49" s="3267">
        <f ca="1">D45</f>
        <v>534</v>
      </c>
      <c r="N49" s="3267"/>
      <c r="O49" s="3267"/>
    </row>
    <row r="50" spans="1:35" ht="25.5" customHeight="1">
      <c r="A50" s="2336"/>
      <c r="B50" s="3312" t="s">
        <v>1344</v>
      </c>
      <c r="C50" s="3312"/>
      <c r="D50" s="2188"/>
      <c r="E50" s="323"/>
      <c r="F50" s="2232"/>
      <c r="G50" s="3296"/>
      <c r="H50" s="2135" t="s">
        <v>2132</v>
      </c>
      <c r="I50" s="2134"/>
      <c r="J50" s="3262" t="s">
        <v>1345</v>
      </c>
      <c r="K50" s="3262"/>
      <c r="L50" s="3262"/>
      <c r="M50" s="3262"/>
      <c r="N50" s="3262"/>
      <c r="O50" s="3262"/>
    </row>
    <row r="51" spans="1:35" ht="20.399999999999999" customHeight="1">
      <c r="A51" s="2337"/>
      <c r="B51" s="3312" t="s">
        <v>1346</v>
      </c>
      <c r="C51" s="3312"/>
      <c r="D51" s="1024"/>
      <c r="E51" s="319"/>
      <c r="F51" s="2232"/>
      <c r="G51" s="3297"/>
      <c r="H51" s="2135" t="s">
        <v>2133</v>
      </c>
      <c r="I51" s="2134"/>
      <c r="J51" s="2310" t="s">
        <v>1347</v>
      </c>
      <c r="K51" s="3263" t="s">
        <v>1348</v>
      </c>
      <c r="L51" s="3263"/>
      <c r="M51" s="2310" t="s">
        <v>1349</v>
      </c>
      <c r="N51" s="2310" t="s">
        <v>1350</v>
      </c>
      <c r="O51" s="2310" t="s">
        <v>1351</v>
      </c>
    </row>
    <row r="52" spans="1:35" ht="24" customHeight="1">
      <c r="A52" s="2152" t="s">
        <v>1352</v>
      </c>
      <c r="B52" s="3312" t="s">
        <v>1353</v>
      </c>
      <c r="C52" s="3312"/>
      <c r="D52" s="1024">
        <f ca="1">ROUND(D45*'数据-取费表'!B41/(1+'数据-取费表'!C42),0)</f>
        <v>28</v>
      </c>
      <c r="E52" s="1255" t="s">
        <v>1354</v>
      </c>
      <c r="F52" s="2338">
        <f>'数据-取费表'!B41</f>
        <v>5.6000000000000001E-2</v>
      </c>
      <c r="G52" s="2339"/>
      <c r="H52" s="2329"/>
      <c r="I52" s="1668"/>
      <c r="J52" s="2309">
        <v>1</v>
      </c>
      <c r="K52" s="3289" t="s">
        <v>1355</v>
      </c>
      <c r="L52" s="3289"/>
      <c r="M52" s="2311">
        <f ca="1">D48</f>
        <v>0</v>
      </c>
      <c r="N52" s="2309" t="str">
        <f>E48</f>
        <v>(销售额-原购置价)×税（费）率</v>
      </c>
      <c r="O52" s="2312">
        <f>F48</f>
        <v>5.6000000000000001E-2</v>
      </c>
    </row>
    <row r="53" spans="1:35" ht="12" customHeight="1">
      <c r="A53" s="2152" t="s">
        <v>1356</v>
      </c>
      <c r="B53" s="3313" t="s">
        <v>2288</v>
      </c>
      <c r="C53" s="3314"/>
      <c r="D53" s="1024">
        <f ca="1">ROUND(D45*'数据-取费表'!B41/(1+'数据-取费表'!C42),0)</f>
        <v>28</v>
      </c>
      <c r="E53" s="1255" t="s">
        <v>1354</v>
      </c>
      <c r="F53" s="2338">
        <f>'数据-取费表'!B41</f>
        <v>5.6000000000000001E-2</v>
      </c>
      <c r="G53" s="2339"/>
      <c r="H53" s="2329"/>
      <c r="I53" s="1668"/>
      <c r="J53" s="2309">
        <v>2</v>
      </c>
      <c r="K53" s="3289" t="s">
        <v>1357</v>
      </c>
      <c r="L53" s="3289"/>
      <c r="M53" s="2311">
        <f t="shared" ref="M53:O54" ca="1" si="0">D55</f>
        <v>0.27</v>
      </c>
      <c r="N53" s="2309" t="str">
        <f t="shared" si="0"/>
        <v>销售额×税（费）率</v>
      </c>
      <c r="O53" s="2312">
        <f t="shared" si="0"/>
        <v>5.0000000000000001E-4</v>
      </c>
    </row>
    <row r="54" spans="1:35" ht="12" customHeight="1">
      <c r="A54" s="2152" t="s">
        <v>1358</v>
      </c>
      <c r="B54" s="3313" t="s">
        <v>2289</v>
      </c>
      <c r="C54" s="3314"/>
      <c r="D54" s="1024">
        <f ca="1">C68</f>
        <v>0</v>
      </c>
      <c r="E54" s="319" t="s">
        <v>1359</v>
      </c>
      <c r="F54" s="2338">
        <f>'数据-取费表'!B41</f>
        <v>5.6000000000000001E-2</v>
      </c>
      <c r="G54" s="2339"/>
      <c r="H54" s="2340"/>
      <c r="I54" s="1668"/>
      <c r="J54" s="2309">
        <v>3</v>
      </c>
      <c r="K54" s="3289" t="s">
        <v>1360</v>
      </c>
      <c r="L54" s="3289"/>
      <c r="M54" s="2311">
        <f t="shared" ca="1" si="0"/>
        <v>0</v>
      </c>
      <c r="N54" s="2309" t="str">
        <f t="shared" si="0"/>
        <v>增值额×税（费）率</v>
      </c>
      <c r="O54" s="2313" t="str">
        <f t="shared" si="0"/>
        <v>——</v>
      </c>
    </row>
    <row r="55" spans="1:35" ht="24" customHeight="1">
      <c r="A55" s="3349" t="s">
        <v>1361</v>
      </c>
      <c r="B55" s="3327"/>
      <c r="C55" s="3327"/>
      <c r="D55" s="12">
        <f ca="1">IF(H55="个人住宅",0,ROUND(D45*I55,2))</f>
        <v>0.27</v>
      </c>
      <c r="E55" s="1255" t="s">
        <v>1362</v>
      </c>
      <c r="F55" s="2338">
        <f>IF(H55="正常",I55,"免征")</f>
        <v>5.0000000000000001E-4</v>
      </c>
      <c r="G55" s="2339"/>
      <c r="H55" s="2335" t="s">
        <v>3450</v>
      </c>
      <c r="I55" s="157">
        <f>'数据-取费表'!B49</f>
        <v>5.0000000000000001E-4</v>
      </c>
      <c r="J55" s="2309" t="str">
        <f>IF(H59="非个人房产","",4)</f>
        <v/>
      </c>
      <c r="K55" s="3289" t="str">
        <f>IF(H59="非个人房产","——","个人所得税")</f>
        <v>——</v>
      </c>
      <c r="L55" s="3289"/>
      <c r="M55" s="2314" t="str">
        <f>D59</f>
        <v>——</v>
      </c>
      <c r="N55" s="1882" t="str">
        <f>E59</f>
        <v>——</v>
      </c>
      <c r="O55" s="2315" t="str">
        <f>F59</f>
        <v>——</v>
      </c>
    </row>
    <row r="56" spans="1:35" ht="25.2">
      <c r="A56" s="3349" t="s">
        <v>1363</v>
      </c>
      <c r="B56" s="3327"/>
      <c r="C56" s="3327"/>
      <c r="D56" s="12">
        <f ca="1">IF(H56="个人住宅",D57,D58)</f>
        <v>0</v>
      </c>
      <c r="E56" s="1255" t="s">
        <v>1364</v>
      </c>
      <c r="F56" s="2338" t="str">
        <f>IF(H56="正常",F58,"免征")</f>
        <v>——</v>
      </c>
      <c r="G56" s="2341" t="s">
        <v>1365</v>
      </c>
      <c r="H56" s="2342" t="s">
        <v>3450</v>
      </c>
      <c r="I56" s="1669"/>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3.2">
      <c r="A57" s="2152" t="s">
        <v>1341</v>
      </c>
      <c r="B57" s="3313" t="s">
        <v>1366</v>
      </c>
      <c r="C57" s="3314"/>
      <c r="D57" s="1477">
        <v>0</v>
      </c>
      <c r="E57" s="316" t="s">
        <v>1343</v>
      </c>
      <c r="F57" s="294"/>
      <c r="G57" s="2339"/>
      <c r="H57" s="2343"/>
      <c r="I57" s="1669"/>
      <c r="J57" s="3289">
        <f>IF(AND(J55="",J56=""),4,IF(项目基本情况!K6="上海银行",结果表712!J56+1,结果表712!J55+1))</f>
        <v>4</v>
      </c>
      <c r="K57" s="3289" t="s">
        <v>1367</v>
      </c>
      <c r="L57" s="2316" t="s">
        <v>1368</v>
      </c>
      <c r="M57" s="2317"/>
      <c r="N57" s="2318">
        <f ca="1">SUMIF(M52:M56,"&lt;9e307")</f>
        <v>0.27</v>
      </c>
      <c r="O57" s="2319"/>
      <c r="P57" s="2462">
        <f ca="1">N57/M49</f>
        <v>5.0561797752808992E-4</v>
      </c>
    </row>
    <row r="58" spans="1:35" ht="25.2">
      <c r="A58" s="2152" t="s">
        <v>1352</v>
      </c>
      <c r="B58" s="3313" t="s">
        <v>1369</v>
      </c>
      <c r="C58" s="3312"/>
      <c r="D58" s="12">
        <f ca="1">IF(H58="转让取得",C81,C97)</f>
        <v>0</v>
      </c>
      <c r="E58" s="1255" t="s">
        <v>1364</v>
      </c>
      <c r="F58" s="294" t="s">
        <v>28</v>
      </c>
      <c r="G58" s="2339"/>
      <c r="H58" s="2342" t="s">
        <v>3524</v>
      </c>
      <c r="I58" s="1669"/>
      <c r="J58" s="3289"/>
      <c r="K58" s="3289"/>
      <c r="L58" s="2316" t="s">
        <v>1370</v>
      </c>
      <c r="M58" s="2320"/>
      <c r="N58" s="2321" t="str">
        <f ca="1">NUMBERSTRING(INT(N57*10000),2)&amp;"元整"</f>
        <v>贰仟柒佰元整</v>
      </c>
      <c r="O58" s="2322"/>
    </row>
    <row r="59" spans="1:35" ht="24.6" thickBot="1">
      <c r="A59" s="3293" t="s">
        <v>1371</v>
      </c>
      <c r="B59" s="3294"/>
      <c r="C59" s="329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3525</v>
      </c>
      <c r="I59" s="2136" t="s">
        <v>2134</v>
      </c>
      <c r="J59" s="3291">
        <f>J57+1</f>
        <v>5</v>
      </c>
      <c r="K59" s="3289" t="s">
        <v>1372</v>
      </c>
      <c r="L59" s="2309" t="s">
        <v>1368</v>
      </c>
      <c r="M59" s="2323"/>
      <c r="N59" s="2324">
        <f ca="1">M49-N57</f>
        <v>533.73</v>
      </c>
      <c r="O59" s="2325"/>
    </row>
    <row r="60" spans="1:35" ht="12" customHeight="1">
      <c r="A60" s="1670"/>
      <c r="B60" s="646"/>
      <c r="C60" s="646"/>
      <c r="D60" s="646"/>
      <c r="E60" s="1465"/>
      <c r="F60" s="1669"/>
      <c r="G60" s="1669"/>
      <c r="H60" s="151"/>
      <c r="I60" s="121"/>
      <c r="J60" s="3292"/>
      <c r="K60" s="3289"/>
      <c r="L60" s="2316" t="s">
        <v>1370</v>
      </c>
      <c r="M60" s="2320"/>
      <c r="N60" s="2321" t="str">
        <f ca="1">NUMBERSTRING(INT(N59*10000),2)&amp;"元整"</f>
        <v>伍佰叁拾叁万柒仟叁佰元整</v>
      </c>
      <c r="O60" s="2322"/>
    </row>
    <row r="61" spans="1:35" ht="13.8" thickBot="1">
      <c r="A61" s="3348" t="s">
        <v>1373</v>
      </c>
      <c r="B61" s="3348"/>
      <c r="C61" s="3348"/>
      <c r="D61" s="3348"/>
      <c r="E61" s="3348"/>
      <c r="F61" s="1669"/>
      <c r="G61" s="1669"/>
      <c r="H61" s="151"/>
      <c r="I61" s="121"/>
      <c r="J61" s="2309">
        <f>J59+1</f>
        <v>6</v>
      </c>
      <c r="K61" s="3289" t="s">
        <v>1374</v>
      </c>
      <c r="L61" s="3289"/>
      <c r="M61" s="2326"/>
      <c r="N61" s="3165">
        <f ca="1">ROUND(N59*10000/面积清单!H9,0)</f>
        <v>5976</v>
      </c>
      <c r="O61" s="2327"/>
    </row>
    <row r="62" spans="1:35" ht="13.2">
      <c r="A62" s="3308" t="s">
        <v>1375</v>
      </c>
      <c r="B62" s="3309"/>
      <c r="C62" s="1864"/>
      <c r="D62" s="1864" t="s">
        <v>1376</v>
      </c>
      <c r="E62" s="158" t="s">
        <v>1377</v>
      </c>
      <c r="F62" s="1669"/>
      <c r="G62" s="1669"/>
      <c r="H62" s="151"/>
      <c r="I62" s="121"/>
    </row>
    <row r="63" spans="1:35" ht="13.2">
      <c r="A63" s="165" t="s">
        <v>330</v>
      </c>
      <c r="B63" s="159" t="s">
        <v>1378</v>
      </c>
      <c r="C63" s="2348">
        <f ca="1">ROUND((C64+C65)/(1+'数据-取费表'!C42),0)</f>
        <v>509</v>
      </c>
      <c r="D63" s="159"/>
      <c r="E63" s="160"/>
      <c r="F63" s="1669"/>
      <c r="G63" s="1669"/>
      <c r="H63" s="151"/>
      <c r="I63" s="121"/>
      <c r="J63" s="3272" t="s">
        <v>1379</v>
      </c>
      <c r="K63" s="1245" t="s">
        <v>1380</v>
      </c>
      <c r="L63" s="1245">
        <f ca="1">IF(M49&gt;10000,M49*0.5%,IF(AND(M49&gt;1000,M49&lt;=10000),M49*1%,IF(AND(M49&gt;100,M49&lt;=1000),M49*3%,IF(AND(M49&gt;10,M49&lt;=100),M49*5%,M49*8%))))</f>
        <v>16.02</v>
      </c>
      <c r="M63" s="294">
        <f ca="1">ROUND(L63,1)</f>
        <v>16</v>
      </c>
      <c r="N63" s="2328"/>
      <c r="Z63" s="1622"/>
      <c r="AI63" s="1560"/>
    </row>
    <row r="64" spans="1:35" ht="14.25" customHeight="1">
      <c r="A64" s="161" t="s">
        <v>325</v>
      </c>
      <c r="B64" s="162" t="s">
        <v>1381</v>
      </c>
      <c r="C64" s="2349">
        <f ca="1">D45</f>
        <v>534</v>
      </c>
      <c r="D64" s="162" t="s">
        <v>26</v>
      </c>
      <c r="E64" s="164"/>
      <c r="F64" s="1669"/>
      <c r="G64" s="1669"/>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3.7379999999999995</v>
      </c>
      <c r="M64" s="294">
        <f t="shared" ref="M64:M65" ca="1" si="1">ROUND(L64,1)</f>
        <v>3.7</v>
      </c>
      <c r="N64" s="2329" t="s">
        <v>1383</v>
      </c>
      <c r="Z64" s="1622"/>
      <c r="AI64" s="1560"/>
    </row>
    <row r="65" spans="1:35" ht="14.25" customHeight="1">
      <c r="A65" s="161" t="s">
        <v>326</v>
      </c>
      <c r="B65" s="162" t="s">
        <v>1384</v>
      </c>
      <c r="C65" s="2350"/>
      <c r="D65" s="162"/>
      <c r="E65" s="164"/>
      <c r="F65" s="1669"/>
      <c r="G65" s="1669"/>
      <c r="H65" s="151"/>
      <c r="I65" s="121"/>
      <c r="J65" s="3272"/>
      <c r="K65" s="1245" t="s">
        <v>1385</v>
      </c>
      <c r="L65" s="1245">
        <f ca="1">IF(M49&gt;1000,M49*0.1%,IF(AND(M49&gt;500,M49&lt;=1000),M49*0.5%,IF(AND(M49&gt;50,M49&lt;=500),M49*1%,IF(AND(M49&gt;1,M49&lt;=50),M49*1.5%))))</f>
        <v>2.67</v>
      </c>
      <c r="M65" s="294">
        <f t="shared" ca="1" si="1"/>
        <v>2.7</v>
      </c>
      <c r="N65" s="2329" t="s">
        <v>1383</v>
      </c>
      <c r="Z65" s="1622"/>
      <c r="AI65" s="1560"/>
    </row>
    <row r="66" spans="1:35" ht="14.25" customHeight="1">
      <c r="A66" s="165" t="s">
        <v>327</v>
      </c>
      <c r="B66" s="166" t="s">
        <v>1386</v>
      </c>
      <c r="C66" s="2351">
        <f>ROUND(面积清单!L9/1.05/10000,0)</f>
        <v>3481</v>
      </c>
      <c r="D66" s="166" t="s">
        <v>26</v>
      </c>
      <c r="E66" s="1250" t="s">
        <v>671</v>
      </c>
      <c r="F66" s="1669"/>
      <c r="G66" s="1669"/>
      <c r="H66" s="151"/>
      <c r="I66" s="121"/>
      <c r="J66" s="3272"/>
      <c r="K66" s="1245" t="s">
        <v>1387</v>
      </c>
      <c r="L66" s="1245">
        <f ca="1">M49*0.5%</f>
        <v>2.67</v>
      </c>
      <c r="M66" s="294">
        <f ca="1">IF(L66&gt;0.5,0.5,ROUND(L66,0))</f>
        <v>0.5</v>
      </c>
      <c r="N66" s="2329" t="s">
        <v>1388</v>
      </c>
      <c r="Z66" s="1622"/>
      <c r="AI66" s="1560"/>
    </row>
    <row r="67" spans="1:35" ht="14.25" customHeight="1">
      <c r="A67" s="165" t="s">
        <v>328</v>
      </c>
      <c r="B67" s="166" t="s">
        <v>1389</v>
      </c>
      <c r="C67" s="2352">
        <f ca="1">C63-C66</f>
        <v>-2972</v>
      </c>
      <c r="D67" s="162" t="s">
        <v>26</v>
      </c>
      <c r="E67" s="164"/>
      <c r="F67" s="1669"/>
      <c r="G67" s="1669"/>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1.585</v>
      </c>
      <c r="M67" s="294">
        <f ca="1">ROUND(L67*0.9,1)</f>
        <v>1.4</v>
      </c>
      <c r="N67" s="2328"/>
      <c r="Z67" s="1622"/>
      <c r="AI67" s="1560"/>
    </row>
    <row r="68" spans="1:35" ht="14.25" customHeight="1" thickBot="1">
      <c r="A68" s="168" t="s">
        <v>329</v>
      </c>
      <c r="B68" s="169" t="s">
        <v>1391</v>
      </c>
      <c r="C68" s="2353">
        <f ca="1">IF(C67&lt;=0,0,ROUND(C67*D68,0))</f>
        <v>0</v>
      </c>
      <c r="D68" s="2354">
        <f>'数据-取费表'!B41</f>
        <v>5.6000000000000001E-2</v>
      </c>
      <c r="E68" s="170"/>
      <c r="F68" s="1669"/>
      <c r="G68" s="1669"/>
      <c r="H68" s="151"/>
      <c r="I68" s="121"/>
      <c r="J68" s="3272"/>
      <c r="K68" s="1245" t="s">
        <v>1392</v>
      </c>
      <c r="L68" s="1245">
        <f ca="1">IF(M49&gt;10000,M49*0.5%,IF(AND(M49&gt;5000,M49&lt;=10000),M49*1%,IF(AND(M49&gt;1000,M49&lt;=5000),M49*2%,IF(AND(M49&gt;200,M49&lt;=1000),M49*3%,M49*5%))))</f>
        <v>16.02</v>
      </c>
      <c r="M68" s="294">
        <f ca="1">ROUND(L68,1)</f>
        <v>16</v>
      </c>
      <c r="N68" s="2328"/>
      <c r="Z68" s="1622"/>
      <c r="AI68" s="1560"/>
    </row>
    <row r="69" spans="1:35" ht="16.5" customHeight="1">
      <c r="A69" s="1671"/>
      <c r="B69" s="1672"/>
      <c r="C69" s="1673"/>
      <c r="D69" s="1674"/>
      <c r="E69" s="1675"/>
      <c r="F69" s="1465"/>
      <c r="G69" s="1465"/>
      <c r="H69" s="1466"/>
      <c r="I69" s="646"/>
      <c r="J69" s="3272"/>
      <c r="K69" s="1245" t="s">
        <v>1393</v>
      </c>
      <c r="L69" s="1245"/>
      <c r="M69" s="294">
        <f ca="1">ROUND(SUM(M63:M68),0)</f>
        <v>40</v>
      </c>
      <c r="N69" s="2330">
        <f ca="1">M69/M49</f>
        <v>7.4906367041198504E-2</v>
      </c>
      <c r="Z69" s="1622"/>
      <c r="AI69" s="1560"/>
    </row>
    <row r="70" spans="1:35" s="642" customFormat="1" ht="14.4" thickBot="1">
      <c r="A70" s="3316" t="s">
        <v>1394</v>
      </c>
      <c r="B70" s="3317"/>
      <c r="C70" s="3317"/>
      <c r="D70" s="3317"/>
      <c r="E70" s="3317"/>
      <c r="F70" s="3317"/>
      <c r="G70" s="3317"/>
      <c r="H70" s="331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08" t="s">
        <v>1375</v>
      </c>
      <c r="B71" s="330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2">
        <f ca="1">ROUND(D45/(1+'数据-取费表'!C42),0)</f>
        <v>509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2">
        <f ca="1">C74+C78</f>
        <v>925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922</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3168">
        <f>面积清单!L4/10000</f>
        <v>718.73739999999998</v>
      </c>
      <c r="D75" s="162" t="s">
        <v>26</v>
      </c>
      <c r="E75" s="176" t="s">
        <v>1399</v>
      </c>
      <c r="F75" s="2356" t="s">
        <v>3526</v>
      </c>
      <c r="G75" s="176" t="s">
        <v>1400</v>
      </c>
      <c r="H75" s="2357">
        <f>2024-2018</f>
        <v>6</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216</v>
      </c>
      <c r="D76" s="2358">
        <v>0.05</v>
      </c>
      <c r="E76" s="3313" t="s">
        <v>1402</v>
      </c>
      <c r="F76" s="3312"/>
      <c r="G76" s="3312"/>
      <c r="H76" s="331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21</v>
      </c>
      <c r="D77" s="2359">
        <f>'数据-取费表'!B48+'数据-取费表'!B49</f>
        <v>3.0499999999999999E-2</v>
      </c>
      <c r="E77" s="12" t="s">
        <v>1404</v>
      </c>
      <c r="F77" s="178"/>
      <c r="G77" s="1681" t="s">
        <v>3532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3</v>
      </c>
      <c r="D78" s="2361">
        <f>'数据-取费表'!B43</f>
        <v>6.000000000000001E-3</v>
      </c>
      <c r="E78" s="3305" t="s">
        <v>1406</v>
      </c>
      <c r="F78" s="3306"/>
      <c r="G78" s="3306"/>
      <c r="H78" s="33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328</v>
      </c>
      <c r="B79" s="166" t="s">
        <v>1407</v>
      </c>
      <c r="C79" s="2352">
        <f ca="1">C72-C73</f>
        <v>-416</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6" t="s">
        <v>1410</v>
      </c>
      <c r="B83" s="3317"/>
      <c r="C83" s="3317"/>
      <c r="D83" s="3317"/>
      <c r="E83" s="3317"/>
      <c r="F83" s="3317"/>
      <c r="G83" s="3317"/>
      <c r="H83" s="331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08" t="s">
        <v>1375</v>
      </c>
      <c r="B84" s="330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2">
        <f ca="1">ROUND(D45/(1+'数据-取费表'!C42),0)</f>
        <v>509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2">
        <f ca="1">IF(H88="仅含出让金",C87+C90+C91+C92+C93+C94,C87+C91+C92+C93+C94)</f>
        <v>3</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6"/>
      <c r="D88" s="2361"/>
      <c r="E88" s="185" t="s">
        <v>1413</v>
      </c>
      <c r="F88" s="2147"/>
      <c r="G88" s="186" t="s">
        <v>1414</v>
      </c>
      <c r="H88" s="1683"/>
      <c r="I88" s="1680"/>
      <c r="J88" s="2307"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6"/>
      <c r="D90" s="2361"/>
      <c r="E90" s="185" t="str">
        <f>IF(H88="-","土地取得成本中已包含该笔费用"," ")</f>
        <v xml:space="preserve"> </v>
      </c>
      <c r="F90" s="2147"/>
      <c r="G90" s="3274" t="s">
        <v>2126</v>
      </c>
      <c r="H90" s="3275"/>
      <c r="I90" s="1680"/>
      <c r="J90" s="2307"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305" t="s">
        <v>1419</v>
      </c>
      <c r="F91" s="3306"/>
      <c r="G91" s="330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05" t="s">
        <v>1422</v>
      </c>
      <c r="F92" s="3306"/>
      <c r="G92" s="3306"/>
      <c r="H92" s="3307"/>
      <c r="I92" s="1680"/>
      <c r="J92" s="2308"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3</v>
      </c>
      <c r="D93" s="2361">
        <f>'数据-取费表'!B43</f>
        <v>6.000000000000001E-3</v>
      </c>
      <c r="E93" s="3305" t="s">
        <v>1406</v>
      </c>
      <c r="F93" s="3306"/>
      <c r="G93" s="3306"/>
      <c r="H93" s="33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50" t="s">
        <v>1426</v>
      </c>
      <c r="F94" s="3351"/>
      <c r="G94" s="3351"/>
      <c r="H94" s="33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328</v>
      </c>
      <c r="B95" s="166" t="s">
        <v>1407</v>
      </c>
      <c r="C95" s="2352">
        <f ca="1">ROUND(C85-C86,0)</f>
        <v>506</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f ca="1">IF(C95&lt;=0,0,C95/C86)</f>
        <v>168.66666666666666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3">
        <f ca="1">ROUND(IF(C95&lt;=0,0,IF(C96&gt;=200%,C95*60%-C86*35%,IF(C96&gt;=100%,C95*50%-C86*15%,IF(C96&gt;=50%,C95*40%-C86*5%,IF(C96&lt;50%,C95*30%,0))))),0)</f>
        <v>303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4" t="s">
        <v>1428</v>
      </c>
      <c r="B100" s="3255"/>
      <c r="C100" s="3255"/>
      <c r="D100" s="3290"/>
      <c r="E100" s="3255" t="s">
        <v>1429</v>
      </c>
      <c r="F100" s="3255"/>
      <c r="G100" s="3255"/>
      <c r="H100" s="3290"/>
      <c r="I100" s="121"/>
    </row>
    <row r="101" spans="1:35" ht="18.75" customHeight="1">
      <c r="A101" s="3298" t="s">
        <v>1430</v>
      </c>
      <c r="B101" s="3299"/>
      <c r="C101" s="2369" t="str">
        <f>C4</f>
        <v>比较法-办公</v>
      </c>
      <c r="D101" s="2370" t="str">
        <f>D4</f>
        <v>收益法 (元)</v>
      </c>
      <c r="E101" s="3268" t="s">
        <v>1431</v>
      </c>
      <c r="F101" s="3269"/>
      <c r="G101" s="1686" t="s">
        <v>1432</v>
      </c>
      <c r="H101" s="2379">
        <f ca="1">H118</f>
        <v>508</v>
      </c>
      <c r="I101" s="121"/>
    </row>
    <row r="102" spans="1:35" ht="18.75" customHeight="1">
      <c r="A102" s="3300" t="s">
        <v>1433</v>
      </c>
      <c r="B102" s="2368" t="s">
        <v>1432</v>
      </c>
      <c r="C102" s="2369">
        <f ca="1">IF(D32="楼面单价",ROUND(C19,0),C19)</f>
        <v>572</v>
      </c>
      <c r="D102" s="2370">
        <f ca="1">IF(D32="楼面单价",ROUND(D19,0),D19)</f>
        <v>357</v>
      </c>
      <c r="E102" s="3268"/>
      <c r="F102" s="3269"/>
      <c r="G102" s="1686" t="s">
        <v>1434</v>
      </c>
      <c r="H102" s="2339">
        <f ca="1">I118</f>
        <v>28279</v>
      </c>
      <c r="I102" s="121"/>
    </row>
    <row r="103" spans="1:35" ht="42.75" customHeight="1">
      <c r="A103" s="3300"/>
      <c r="B103" s="2368" t="s">
        <v>1434</v>
      </c>
      <c r="C103" s="2371">
        <f ca="1">C20</f>
        <v>31865</v>
      </c>
      <c r="D103" s="2372">
        <f ca="1">D20</f>
        <v>19912</v>
      </c>
      <c r="E103" s="3260" t="s">
        <v>1435</v>
      </c>
      <c r="F103" s="3261"/>
      <c r="G103" s="1687" t="s">
        <v>1436</v>
      </c>
      <c r="H103" s="2379">
        <f>IF(D36="正常操作",H104+H105+H106,H105+H106)</f>
        <v>0</v>
      </c>
      <c r="I103" s="121"/>
    </row>
    <row r="104" spans="1:35" ht="18.75" customHeight="1">
      <c r="A104" s="3300" t="s">
        <v>1437</v>
      </c>
      <c r="B104" s="2373" t="s">
        <v>1432</v>
      </c>
      <c r="C104" s="2374">
        <f ca="1">H118</f>
        <v>508</v>
      </c>
      <c r="D104" s="2375"/>
      <c r="E104" s="1554" t="s">
        <v>1438</v>
      </c>
      <c r="F104" s="1547"/>
      <c r="G104" s="1687" t="s">
        <v>1436</v>
      </c>
      <c r="H104" s="2380">
        <f>IF(D36="同一抵押权人同一抵押物续贷",C36&amp;"（续贷，未扣减，详见特别提示）",C36)</f>
        <v>0</v>
      </c>
      <c r="I104" s="121"/>
    </row>
    <row r="105" spans="1:35" ht="18.75" customHeight="1" thickBot="1">
      <c r="A105" s="3310"/>
      <c r="B105" s="2376" t="s">
        <v>1434</v>
      </c>
      <c r="C105" s="2377">
        <f ca="1">I118</f>
        <v>28279</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01" t="str">
        <f>IF(项目基本情况!E8="已注销","——","3.房地产抵押价值")</f>
        <v>3.房地产抵押价值</v>
      </c>
      <c r="F107" s="3269"/>
      <c r="G107" s="1686" t="s">
        <v>1432</v>
      </c>
      <c r="H107" s="2379">
        <f ca="1">IF(E107="——","——",H101-H103)</f>
        <v>508</v>
      </c>
      <c r="I107" s="121"/>
    </row>
    <row r="108" spans="1:35" ht="18.75" customHeight="1">
      <c r="A108" s="121"/>
      <c r="B108" s="121"/>
      <c r="C108" s="121"/>
      <c r="D108" s="121"/>
      <c r="E108" s="3301"/>
      <c r="F108" s="3269"/>
      <c r="G108" s="1686" t="s">
        <v>1434</v>
      </c>
      <c r="H108" s="2339">
        <f ca="1">IF(H107=H101,H102,ROUND(H107*10000/'数据-汇总表'!E3,0))</f>
        <v>28279</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6" t="s">
        <v>1432</v>
      </c>
      <c r="H109" s="2382" t="str">
        <f>IF(E109="——","——",H101-H105-H106)</f>
        <v>——</v>
      </c>
      <c r="I109" s="121"/>
    </row>
    <row r="110" spans="1:35" ht="18.75" customHeight="1">
      <c r="A110" s="121"/>
      <c r="B110" s="121"/>
      <c r="C110" s="121"/>
      <c r="D110" s="121"/>
      <c r="E110" s="3301"/>
      <c r="F110" s="3269"/>
      <c r="G110" s="1686" t="s">
        <v>1434</v>
      </c>
      <c r="H110" s="2339"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4.抵押净值</v>
      </c>
      <c r="F111" s="3288"/>
      <c r="G111" s="1686" t="s">
        <v>1432</v>
      </c>
      <c r="H111" s="2379">
        <f ca="1">IF(E111="——","——",N59)</f>
        <v>533.73</v>
      </c>
      <c r="I111" s="121"/>
    </row>
    <row r="112" spans="1:35" ht="18.75" customHeight="1" thickBot="1">
      <c r="A112" s="121"/>
      <c r="B112" s="121"/>
      <c r="C112" s="121"/>
      <c r="D112" s="121"/>
      <c r="E112" s="3303"/>
      <c r="F112" s="3304"/>
      <c r="G112" s="1689" t="s">
        <v>1434</v>
      </c>
      <c r="H112" s="2383">
        <f ca="1">IF(E111="——","——",N61)</f>
        <v>5976</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0"/>
      <c r="F114" s="1670"/>
      <c r="G114" s="1670"/>
      <c r="H114" s="1670"/>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49" t="s">
        <v>1449</v>
      </c>
      <c r="E117" s="2149" t="s">
        <v>1450</v>
      </c>
      <c r="F117" s="2149" t="s">
        <v>1449</v>
      </c>
      <c r="G117" s="2149" t="s">
        <v>1451</v>
      </c>
      <c r="H117" s="2149" t="s">
        <v>1449</v>
      </c>
      <c r="I117" s="2149" t="s">
        <v>1451</v>
      </c>
    </row>
    <row r="118" spans="1:27" ht="24.75" customHeight="1">
      <c r="A118" s="2384" t="str">
        <f>项目基本情况!S2</f>
        <v>北京市朝阳区东三环南路98号1幢房地产</v>
      </c>
      <c r="B118" s="2149">
        <f>M18</f>
        <v>179.5</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508</v>
      </c>
      <c r="I118" s="2149">
        <f ca="1">ROUND(IF(D32="楼面单价",C32,H118*10000/B118),0)</f>
        <v>28279</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伍佰零捌万元整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508</v>
      </c>
      <c r="E122" s="3278"/>
      <c r="F122" s="3278"/>
      <c r="G122" s="3278"/>
      <c r="H122" s="3278"/>
      <c r="I122" s="3279"/>
      <c r="AA122" s="684"/>
    </row>
    <row r="123" spans="1:27" ht="18.75" customHeight="1">
      <c r="A123" s="3276" t="s">
        <v>1452</v>
      </c>
      <c r="B123" s="3276"/>
      <c r="C123" s="3276"/>
      <c r="D123" s="3282" t="str">
        <f ca="1">NUMBERSTRING(INT(D122*10000),2)&amp;"元整"</f>
        <v>伍佰零捌万元整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抵押净值</v>
      </c>
      <c r="B126" s="3288"/>
      <c r="C126" s="3288"/>
      <c r="D126" s="3277">
        <f ca="1">H111</f>
        <v>533.73</v>
      </c>
      <c r="E126" s="3278"/>
      <c r="F126" s="3278"/>
      <c r="G126" s="3278"/>
      <c r="H126" s="3278"/>
      <c r="I126" s="3279"/>
      <c r="AA126" s="684"/>
    </row>
    <row r="127" spans="1:27" ht="18.75" customHeight="1">
      <c r="A127" s="3276" t="s">
        <v>1452</v>
      </c>
      <c r="B127" s="3276"/>
      <c r="C127" s="3276"/>
      <c r="D127" s="3282" t="str">
        <f ca="1">NUMBERSTRING(INT(D126*10000),2)&amp;"元整"</f>
        <v>伍佰叁拾叁万柒仟叁佰元整</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D7">
    <cfRule type="cellIs" dxfId="174" priority="6" stopIfTrue="1" operator="equal">
      <formula>25</formula>
    </cfRule>
  </conditionalFormatting>
  <conditionalFormatting sqref="C8:D13">
    <cfRule type="cellIs" dxfId="173" priority="5" stopIfTrue="1" operator="equal">
      <formula>15</formula>
    </cfRule>
  </conditionalFormatting>
  <conditionalFormatting sqref="C14:D16">
    <cfRule type="cellIs" dxfId="172" priority="4" stopIfTrue="1" operator="equal">
      <formula>30</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72100F4B-B713-4CFA-A28B-C0157617C022}">
      <formula1>估价方法</formula1>
    </dataValidation>
    <dataValidation type="list" allowBlank="1" showInputMessage="1" showErrorMessage="1" sqref="H55:H56" xr:uid="{7DDA3497-EA4D-4F64-A1E7-78BCF2365243}">
      <formula1>"个人住宅,正常"</formula1>
    </dataValidation>
    <dataValidation type="list" allowBlank="1" showInputMessage="1" showErrorMessage="1" sqref="H48" xr:uid="{DC0FF2C7-D7AB-444F-9B07-3BB41593356A}">
      <formula1>"情况1,情况2,情况3,情况4"</formula1>
    </dataValidation>
    <dataValidation type="list" allowBlank="1" showInputMessage="1" showErrorMessage="1" sqref="H58" xr:uid="{BD607986-B729-40F0-9D4C-BF048DDA854C}">
      <formula1>"转让取得,自行开发建设"</formula1>
    </dataValidation>
    <dataValidation type="list" allowBlank="1" showInputMessage="1" showErrorMessage="1" sqref="D32" xr:uid="{E53D2D1F-1EA2-4326-9D15-A30888A3FABE}">
      <formula1>"总价,楼面单价"</formula1>
    </dataValidation>
    <dataValidation type="list" allowBlank="1" showInputMessage="1" showErrorMessage="1" sqref="F45" xr:uid="{6A13AED6-40C7-4225-AE4A-CCF6010102BE}">
      <formula1>"100%,70%,56%"</formula1>
    </dataValidation>
    <dataValidation type="list" allowBlank="1" showInputMessage="1" showErrorMessage="1" sqref="C33" xr:uid="{C1498435-5FDF-4829-88D4-071AD8E42BB2}">
      <formula1>"成本比率,收益比率,自定义"</formula1>
    </dataValidation>
    <dataValidation type="list" allowBlank="1" showInputMessage="1" showErrorMessage="1" sqref="H91" xr:uid="{BC48F871-6437-4136-86D1-0CA001024023}">
      <formula1>"企业提供（在右侧录入）,——"</formula1>
    </dataValidation>
    <dataValidation type="list" allowBlank="1" showInputMessage="1" showErrorMessage="1" sqref="H88" xr:uid="{BE3E8FEC-C0E6-4833-A1AD-1EE6FF67F7CF}">
      <formula1>"仅含出让金,出让金+开发费"</formula1>
    </dataValidation>
    <dataValidation type="list" allowBlank="1" showInputMessage="1" showErrorMessage="1" sqref="F75" xr:uid="{A9AD0E74-C35A-4E16-86FB-DC6FBA6D3A00}">
      <formula1>"买卖合同,购房发票"</formula1>
    </dataValidation>
    <dataValidation type="list" allowBlank="1" showInputMessage="1" showErrorMessage="1" sqref="D36" xr:uid="{CF8DF5D1-57C4-409B-8D62-A1B504B229CD}">
      <formula1>"同一抵押权人同一抵押物续贷,注销后放款,正常操作"</formula1>
    </dataValidation>
    <dataValidation type="list" allowBlank="1" showInputMessage="1" showErrorMessage="1" sqref="B116:B117" xr:uid="{4D3D53CA-2792-4046-98A4-BE7A5D08A076}">
      <formula1>"建筑面积,规划建筑面积,（规划）建筑面积"</formula1>
    </dataValidation>
    <dataValidation type="list" allowBlank="1" showInputMessage="1" showErrorMessage="1" sqref="C116:C117" xr:uid="{7ACF0BE2-FEDD-46DD-A81E-7571D9B317B0}">
      <formula1>"土地面积,分摊土地面积,（分摊）土地面积"</formula1>
    </dataValidation>
    <dataValidation type="list" allowBlank="1" showInputMessage="1" showErrorMessage="1" sqref="D116:E116" xr:uid="{D271226C-C662-4CCC-8161-24FD5AA496B0}">
      <formula1>"出让国有建设用地使用权价值,划拨国有建设用地使用权价值"</formula1>
    </dataValidation>
    <dataValidation type="list" allowBlank="1" showInputMessage="1" showErrorMessage="1" sqref="F116:G116" xr:uid="{CD1091D2-5751-4BDE-BC0B-05D0BEEAE26A}">
      <formula1>"建筑物价值,在建建筑物价值,建筑物/在建建筑物价值"</formula1>
    </dataValidation>
    <dataValidation type="list" allowBlank="1" showInputMessage="1" showErrorMessage="1" sqref="C129" xr:uid="{E545C72E-9BEA-47A1-89A1-51BF9F4FC399}">
      <formula1>"无,有"</formula1>
    </dataValidation>
    <dataValidation type="list" showInputMessage="1" showErrorMessage="1" sqref="G1" xr:uid="{6902B0DA-BBDC-422B-88D1-72BBA05AE0A3}">
      <formula1>"现房,在建,土地,-"</formula1>
    </dataValidation>
    <dataValidation type="list" allowBlank="1" showInputMessage="1" showErrorMessage="1" sqref="I1" xr:uid="{D9B6385D-D767-4450-A292-2C29D2B71E06}">
      <formula1>"项目局部,项目全部,——"</formula1>
    </dataValidation>
    <dataValidation type="list" allowBlank="1" showInputMessage="1" showErrorMessage="1" sqref="C1" xr:uid="{B067D6B0-CDC0-4CC8-834D-1C5A2F00418C}">
      <formula1>项目类型</formula1>
    </dataValidation>
    <dataValidation type="list" allowBlank="1" showInputMessage="1" showErrorMessage="1" sqref="G77" xr:uid="{38FF6974-3811-4C19-95FA-5021B5EF15EC}">
      <formula1>"个人住宅,2016年5月1日前购买,2016年5月1日后购买"</formula1>
    </dataValidation>
    <dataValidation type="list" allowBlank="1" showInputMessage="1" showErrorMessage="1" sqref="E103" xr:uid="{32FAA367-8CE6-4ED7-ADC3-2FCC6C8031DC}">
      <formula1>"2.估价师知悉的法定优先受偿款,2.估价师知悉的除抵押担保权以外的法定优先受偿款"</formula1>
    </dataValidation>
    <dataValidation type="list" allowBlank="1" showInputMessage="1" showErrorMessage="1" sqref="H59" xr:uid="{32412182-A35F-4515-BC34-EA9108D4D3EE}">
      <formula1>"非个人房产,个人住宅（满五唯一有凭证）,个人其他（有凭证）,个人其他（无凭证）"</formula1>
    </dataValidation>
    <dataValidation type="list" allowBlank="1" showInputMessage="1" showErrorMessage="1" sqref="D92" xr:uid="{70E6B769-EC18-4B4A-AE29-A715B371BFA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北京市朝阳区东三环南路98号1幢房地产抵押价值预评估</v>
      </c>
      <c r="C37" s="3172"/>
      <c r="D37" s="3172"/>
      <c r="E37" s="3172"/>
      <c r="F37" s="3172"/>
      <c r="G37" s="3172"/>
      <c r="H37" s="3172"/>
      <c r="I37" s="3172"/>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82688-4798-4599-AC6F-C0EC8B723F24}">
  <sheetPr>
    <tabColor rgb="FFFF0000"/>
  </sheetPr>
  <dimension ref="A1:AJ512"/>
  <sheetViews>
    <sheetView view="pageBreakPreview" topLeftCell="A43" zoomScaleNormal="100" zoomScaleSheetLayoutView="100" zoomScalePageLayoutView="80" workbookViewId="0">
      <selection activeCell="D56" sqref="D5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v>1511</v>
      </c>
      <c r="D1" s="646"/>
      <c r="E1" s="646"/>
      <c r="F1" s="1620" t="s">
        <v>1263</v>
      </c>
      <c r="G1" s="1452" t="s">
        <v>3393</v>
      </c>
      <c r="H1" s="1620" t="str">
        <f>IF(G1="现房","——","估价对象范围")</f>
        <v>——</v>
      </c>
      <c r="I1" s="1621"/>
    </row>
    <row r="2" spans="1:12" ht="21.75" customHeight="1" thickBot="1">
      <c r="A2" s="3328" t="str">
        <f>项目基本情况!S2</f>
        <v>北京市朝阳区东三环南路98号1幢房地产</v>
      </c>
      <c r="B2" s="3329"/>
      <c r="C2" s="3329"/>
      <c r="D2" s="3329"/>
      <c r="E2" s="3329"/>
      <c r="F2" s="3329"/>
      <c r="G2" s="3329"/>
      <c r="H2" s="3329"/>
      <c r="I2" s="3330"/>
    </row>
    <row r="3" spans="1:12" ht="13.2">
      <c r="A3" s="3332" t="s">
        <v>1264</v>
      </c>
      <c r="B3" s="3333"/>
      <c r="C3" s="3333"/>
      <c r="D3" s="3333"/>
      <c r="E3" s="3333"/>
      <c r="F3" s="3333"/>
      <c r="G3" s="3333"/>
      <c r="H3" s="3333"/>
      <c r="I3" s="3333"/>
    </row>
    <row r="4" spans="1:12" ht="14.4">
      <c r="A4" s="1623" t="s">
        <v>1265</v>
      </c>
      <c r="B4" s="1624" t="s">
        <v>1266</v>
      </c>
      <c r="C4" s="1625" t="s">
        <v>3509</v>
      </c>
      <c r="D4" s="1625" t="s">
        <v>3444</v>
      </c>
      <c r="E4" s="3337" t="s">
        <v>1267</v>
      </c>
      <c r="F4" s="3338"/>
      <c r="G4" s="3338"/>
      <c r="H4" s="3338"/>
      <c r="I4" s="3339"/>
      <c r="K4" s="138" t="str">
        <f>IF(ISNUMBER(FIND("比较法",结果表1805!C4)),"比较法",IF(ISNUMBER(FIND("成本法",结果表1805!C4)),"成本法",IF(ISNUMBER(FIND("假设开发法",结果表1805!C4)),"假设开发法",IF(ISNUMBER(FIND("收益法",结果表1805!C4)),"收益法","基准地价系数修正法"))))</f>
        <v>比较法</v>
      </c>
      <c r="L4" s="138" t="str">
        <f>IF(ISNUMBER(FIND("比较法",结果表1805!D4)),"比较法",IF(ISNUMBER(FIND("成本法",结果表1805!D4)),"成本法",IF(ISNUMBER(FIND("假设开发法",结果表1805!D4)),"假设开发法",IF(ISNUMBER(FIND("收益法",结果表1805!D4)),"收益法","基准地价系数修正法"))))</f>
        <v>收益法</v>
      </c>
    </row>
    <row r="5" spans="1:12" ht="13.2">
      <c r="A5" s="3276" t="s">
        <v>1268</v>
      </c>
      <c r="B5" s="3331">
        <v>25</v>
      </c>
      <c r="C5" s="3334"/>
      <c r="D5" s="3322"/>
      <c r="E5" s="123" t="s">
        <v>1269</v>
      </c>
      <c r="F5" s="1626"/>
      <c r="G5" s="1626"/>
      <c r="H5" s="1626"/>
      <c r="I5" s="1280"/>
    </row>
    <row r="6" spans="1:12" ht="13.2">
      <c r="A6" s="3276"/>
      <c r="B6" s="3331"/>
      <c r="C6" s="3336"/>
      <c r="D6" s="3322"/>
      <c r="E6" s="123" t="s">
        <v>1270</v>
      </c>
      <c r="F6" s="1626"/>
      <c r="G6" s="1626"/>
      <c r="H6" s="1626"/>
      <c r="I6" s="1280"/>
    </row>
    <row r="7" spans="1:12" ht="13.2">
      <c r="A7" s="3276"/>
      <c r="B7" s="3331"/>
      <c r="C7" s="3335"/>
      <c r="D7" s="3322"/>
      <c r="E7" s="123" t="s">
        <v>1271</v>
      </c>
      <c r="F7" s="1626"/>
      <c r="G7" s="1626"/>
      <c r="H7" s="1626"/>
      <c r="I7" s="1280"/>
    </row>
    <row r="8" spans="1:12" ht="13.2">
      <c r="A8" s="3276" t="s">
        <v>1272</v>
      </c>
      <c r="B8" s="3331">
        <v>15</v>
      </c>
      <c r="C8" s="3334"/>
      <c r="D8" s="3322"/>
      <c r="E8" s="123" t="s">
        <v>1273</v>
      </c>
      <c r="F8" s="1626"/>
      <c r="G8" s="1626"/>
      <c r="H8" s="1626"/>
      <c r="I8" s="1280"/>
    </row>
    <row r="9" spans="1:12" ht="13.2">
      <c r="A9" s="3276"/>
      <c r="B9" s="3331"/>
      <c r="C9" s="3335"/>
      <c r="D9" s="3322"/>
      <c r="E9" s="123" t="s">
        <v>1274</v>
      </c>
      <c r="F9" s="1626"/>
      <c r="G9" s="1626"/>
      <c r="H9" s="1626"/>
      <c r="I9" s="1280"/>
    </row>
    <row r="10" spans="1:12" ht="13.2">
      <c r="A10" s="3276" t="s">
        <v>1275</v>
      </c>
      <c r="B10" s="3331">
        <v>15</v>
      </c>
      <c r="C10" s="3334"/>
      <c r="D10" s="3322"/>
      <c r="E10" s="123" t="s">
        <v>1276</v>
      </c>
      <c r="F10" s="1626"/>
      <c r="G10" s="1626"/>
      <c r="H10" s="1626"/>
      <c r="I10" s="1280"/>
    </row>
    <row r="11" spans="1:12" ht="13.2">
      <c r="A11" s="3276"/>
      <c r="B11" s="3331"/>
      <c r="C11" s="3335"/>
      <c r="D11" s="3322"/>
      <c r="E11" s="123" t="s">
        <v>1277</v>
      </c>
      <c r="F11" s="1626"/>
      <c r="G11" s="1626"/>
      <c r="H11" s="1626"/>
      <c r="I11" s="1280"/>
    </row>
    <row r="12" spans="1:12" ht="13.2">
      <c r="A12" s="3276" t="s">
        <v>1278</v>
      </c>
      <c r="B12" s="3331">
        <v>15</v>
      </c>
      <c r="C12" s="3334"/>
      <c r="D12" s="3322"/>
      <c r="E12" s="123" t="s">
        <v>1279</v>
      </c>
      <c r="F12" s="1626"/>
      <c r="G12" s="1626"/>
      <c r="H12" s="1626"/>
      <c r="I12" s="1280"/>
    </row>
    <row r="13" spans="1:12" ht="13.2">
      <c r="A13" s="3276"/>
      <c r="B13" s="3331"/>
      <c r="C13" s="3335"/>
      <c r="D13" s="3322"/>
      <c r="E13" s="123" t="s">
        <v>1280</v>
      </c>
      <c r="F13" s="1626"/>
      <c r="G13" s="1626"/>
      <c r="H13" s="1626"/>
      <c r="I13" s="1280"/>
    </row>
    <row r="14" spans="1:12" ht="13.2">
      <c r="A14" s="3276" t="s">
        <v>1281</v>
      </c>
      <c r="B14" s="3331">
        <v>30</v>
      </c>
      <c r="C14" s="3334">
        <v>7</v>
      </c>
      <c r="D14" s="3322">
        <v>3</v>
      </c>
      <c r="E14" s="123" t="s">
        <v>1282</v>
      </c>
      <c r="F14" s="1626"/>
      <c r="G14" s="1626"/>
      <c r="H14" s="1626"/>
      <c r="I14" s="1280"/>
    </row>
    <row r="15" spans="1:12" ht="13.2">
      <c r="A15" s="3276"/>
      <c r="B15" s="3331"/>
      <c r="C15" s="3336"/>
      <c r="D15" s="3322"/>
      <c r="E15" s="123" t="s">
        <v>1283</v>
      </c>
      <c r="F15" s="1626"/>
      <c r="G15" s="1626"/>
      <c r="H15" s="1626"/>
      <c r="I15" s="1280"/>
    </row>
    <row r="16" spans="1:12" ht="13.2">
      <c r="A16" s="3276"/>
      <c r="B16" s="3331"/>
      <c r="C16" s="3335"/>
      <c r="D16" s="3322"/>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353" t="s">
        <v>2128</v>
      </c>
      <c r="F18" s="3354"/>
      <c r="G18" s="3354"/>
      <c r="H18" s="3354"/>
      <c r="I18" s="3354"/>
      <c r="K18" s="294" t="s">
        <v>1289</v>
      </c>
      <c r="L18" s="294">
        <f>IF(C1="",'数据-汇总表'!E3,SUMIF(项目类型,C1,'数据-汇总表'!E17:E26)+SUMIF(项目类型,C1,'数据-汇总表'!I17:I26))</f>
        <v>179.5</v>
      </c>
      <c r="M18" s="294">
        <f>IF(C1="",'数据-汇总表'!E3,SUMIF(项目类型,C1,'数据-汇总表'!E17:E26))</f>
        <v>179.5</v>
      </c>
    </row>
    <row r="19" spans="1:36" ht="14.4">
      <c r="A19" s="1629" t="s">
        <v>1290</v>
      </c>
      <c r="B19" s="1630" t="s">
        <v>1291</v>
      </c>
      <c r="C19" s="126">
        <f ca="1">SUMIF(INDIRECT("'"&amp;C4&amp;"'"&amp;"!A:A"),结果表1805!B19,INDIRECT("'"&amp;C4&amp;"'"&amp;"!B:B"))</f>
        <v>571.97680000000003</v>
      </c>
      <c r="D19" s="127">
        <f ca="1">SUMIF(INDIRECT("'"&amp;D4&amp;"'"&amp;"!A:A"),结果表1805!B19,INDIRECT("'"&amp;D4&amp;"'"&amp;"!B:B"))</f>
        <v>357.4246</v>
      </c>
      <c r="E19" s="1629" t="s">
        <v>1292</v>
      </c>
      <c r="F19" s="1630" t="s">
        <v>1291</v>
      </c>
      <c r="G19" s="128">
        <f ca="1">ROUND(C19*$C$18+D19*$D$18,0)</f>
        <v>508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SUMIF(INDIRECT("'"&amp;C4&amp;"'"&amp;"!A:A"),结果表1805!B20,INDIRECT("'"&amp;C4&amp;"'"&amp;"!B:B"))</f>
        <v>31865</v>
      </c>
      <c r="D20" s="130">
        <f ca="1">SUMIF(INDIRECT("'"&amp;D4&amp;"'"&amp;"!A:A"),结果表1805!B20,INDIRECT("'"&amp;D4&amp;"'"&amp;"!B:B"))</f>
        <v>19912</v>
      </c>
      <c r="E20" s="1632"/>
      <c r="F20" s="43" t="s">
        <v>1295</v>
      </c>
      <c r="G20" s="131">
        <f ca="1">ROUND(C20*$C$18+D20*$D$18,0)</f>
        <v>28279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0.60027261693794998</v>
      </c>
      <c r="E22" s="121"/>
      <c r="F22" s="121"/>
      <c r="G22" s="121"/>
      <c r="H22" s="121"/>
      <c r="I22" s="121"/>
    </row>
    <row r="23" spans="1:36" ht="13.8" thickBot="1">
      <c r="A23" s="646"/>
      <c r="B23" s="646"/>
      <c r="C23" s="646"/>
      <c r="D23" s="646"/>
      <c r="E23" s="121"/>
      <c r="F23" s="121"/>
      <c r="G23" s="3164" t="s">
        <v>3528</v>
      </c>
      <c r="H23" s="121">
        <f ca="1">N59</f>
        <v>581.71</v>
      </c>
      <c r="I23" s="121"/>
    </row>
    <row r="24" spans="1:36" ht="14.4">
      <c r="A24" s="3346" t="s">
        <v>1299</v>
      </c>
      <c r="B24" s="1630" t="s">
        <v>1291</v>
      </c>
      <c r="C24" s="128">
        <f>IF(B30=0,0,D30)</f>
        <v>0</v>
      </c>
      <c r="D24" s="1636"/>
      <c r="E24" s="121"/>
      <c r="F24" s="121"/>
      <c r="G24" s="3164" t="s">
        <v>3529</v>
      </c>
      <c r="H24" s="121">
        <f ca="1">N61</f>
        <v>6513</v>
      </c>
      <c r="I24" s="121"/>
    </row>
    <row r="25" spans="1:36" ht="14.4">
      <c r="A25" s="334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 customHeight="1" thickTop="1" thickBot="1">
      <c r="A31" s="2127"/>
      <c r="B31" s="2128"/>
      <c r="C31" s="2128"/>
      <c r="D31" s="2128"/>
      <c r="E31" s="2128"/>
      <c r="F31" s="2128"/>
      <c r="G31" s="2128"/>
      <c r="H31" s="2128"/>
      <c r="I31" s="2129" t="s">
        <v>2130</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28279</v>
      </c>
      <c r="D32" s="1640" t="s">
        <v>3511</v>
      </c>
      <c r="E32" s="121"/>
      <c r="F32" s="121"/>
      <c r="G32" s="121"/>
      <c r="H32" s="121"/>
      <c r="I32" s="121"/>
    </row>
    <row r="33" spans="1:15" ht="14.4">
      <c r="A33" s="740" t="s">
        <v>1306</v>
      </c>
      <c r="B33" s="123"/>
      <c r="C33" s="1641" t="s">
        <v>3512</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23" t="s">
        <v>1312</v>
      </c>
      <c r="B36" s="1651" t="s">
        <v>1313</v>
      </c>
      <c r="C36" s="137"/>
      <c r="D36" s="1652"/>
      <c r="E36" s="1566"/>
      <c r="F36" s="1653"/>
      <c r="G36" s="121"/>
      <c r="H36" s="121"/>
      <c r="I36" s="121"/>
    </row>
    <row r="37" spans="1:15" ht="15" thickBot="1">
      <c r="A37" s="3324"/>
      <c r="B37" s="1554" t="s">
        <v>1314</v>
      </c>
      <c r="C37" s="139"/>
      <c r="D37" s="1071"/>
      <c r="E37" s="1071"/>
      <c r="F37" s="1653"/>
      <c r="G37" s="121"/>
      <c r="H37" s="121"/>
      <c r="I37" s="121"/>
    </row>
    <row r="38" spans="1:15" ht="15" thickBot="1">
      <c r="A38" s="3325"/>
      <c r="B38" s="1654" t="s">
        <v>1315</v>
      </c>
      <c r="C38" s="641"/>
      <c r="D38" s="1655" t="s">
        <v>1316</v>
      </c>
      <c r="E38" s="1071"/>
      <c r="F38" s="1653"/>
      <c r="G38" s="121"/>
      <c r="H38" s="121"/>
      <c r="I38" s="121"/>
    </row>
    <row r="39" spans="1:15" ht="14.4">
      <c r="A39" s="1632" t="s">
        <v>1317</v>
      </c>
      <c r="B39" s="1656" t="s">
        <v>1301</v>
      </c>
      <c r="C39" s="1657" t="s">
        <v>1302</v>
      </c>
      <c r="D39" s="1657" t="s">
        <v>1320</v>
      </c>
      <c r="E39" s="1658" t="s">
        <v>1303</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3" t="s">
        <v>1326</v>
      </c>
      <c r="B45" s="3344"/>
      <c r="C45" s="3345"/>
      <c r="D45" s="3159">
        <f ca="1">典型户型修正!S26</f>
        <v>582</v>
      </c>
      <c r="E45" s="148" t="s">
        <v>1327</v>
      </c>
      <c r="F45" s="149">
        <v>1</v>
      </c>
      <c r="G45" s="150" t="s">
        <v>1328</v>
      </c>
      <c r="H45" s="121"/>
      <c r="I45" s="121"/>
      <c r="J45" s="3262" t="s">
        <v>1329</v>
      </c>
      <c r="K45" s="3262"/>
      <c r="L45" s="3262"/>
      <c r="M45" s="3262"/>
      <c r="N45" s="3262"/>
      <c r="O45" s="3262"/>
    </row>
    <row r="46" spans="1:15" ht="14.25" customHeight="1">
      <c r="A46" s="3340" t="s">
        <v>1330</v>
      </c>
      <c r="B46" s="3341"/>
      <c r="C46" s="3341"/>
      <c r="D46" s="3341"/>
      <c r="E46" s="3341"/>
      <c r="F46" s="3341"/>
      <c r="G46" s="3342"/>
      <c r="H46" s="1667"/>
      <c r="I46" s="151"/>
      <c r="J46" s="2309">
        <v>1</v>
      </c>
      <c r="K46" s="3263" t="s">
        <v>1331</v>
      </c>
      <c r="L46" s="3263"/>
      <c r="M46" s="3264"/>
      <c r="N46" s="3264"/>
      <c r="O46" s="3264"/>
    </row>
    <row r="47" spans="1:15" ht="12" customHeight="1">
      <c r="A47" s="152" t="s">
        <v>1332</v>
      </c>
      <c r="B47" s="153"/>
      <c r="C47" s="154"/>
      <c r="D47" s="1024" t="s">
        <v>1333</v>
      </c>
      <c r="E47" s="294" t="s">
        <v>1334</v>
      </c>
      <c r="F47" s="155" t="s">
        <v>1335</v>
      </c>
      <c r="G47" s="2331" t="s">
        <v>1336</v>
      </c>
      <c r="H47" s="2332"/>
      <c r="I47" s="151"/>
      <c r="J47" s="2309">
        <v>2</v>
      </c>
      <c r="K47" s="3263" t="s">
        <v>1337</v>
      </c>
      <c r="L47" s="3263"/>
      <c r="M47" s="3265">
        <f>'数据-取费表'!B2</f>
        <v>45649</v>
      </c>
      <c r="N47" s="3265"/>
      <c r="O47" s="3265"/>
    </row>
    <row r="48" spans="1:15" ht="39.6">
      <c r="A48" s="3326" t="s">
        <v>1338</v>
      </c>
      <c r="B48" s="3327"/>
      <c r="C48" s="3327"/>
      <c r="D48" s="12">
        <f ca="1">IF(H48="情况1",0,IF(H48="情况2",D52,IF(H48="情况3",D53,IF(H48="情况4",D54))))</f>
        <v>0</v>
      </c>
      <c r="E48" s="1255" t="str">
        <f>IF(H48="情况4","(销售额-原购置价)×税（费）率","销售额×税（费）率")</f>
        <v>(销售额-原购置价)×税（费）率</v>
      </c>
      <c r="F48" s="2333">
        <f>IF(H48="情况1","免征",'数据-取费表'!B41)</f>
        <v>5.6000000000000001E-2</v>
      </c>
      <c r="G48" s="2334" t="s">
        <v>1339</v>
      </c>
      <c r="H48" s="2335" t="s">
        <v>3523</v>
      </c>
      <c r="I48" s="1667"/>
      <c r="J48" s="2309">
        <v>3</v>
      </c>
      <c r="K48" s="3263" t="s">
        <v>1340</v>
      </c>
      <c r="L48" s="3263"/>
      <c r="M48" s="3266">
        <f ca="1">D45</f>
        <v>582</v>
      </c>
      <c r="N48" s="3266"/>
      <c r="O48" s="3266"/>
    </row>
    <row r="49" spans="1:35" ht="25.5" customHeight="1">
      <c r="A49" s="2151" t="s">
        <v>1341</v>
      </c>
      <c r="B49" s="3312" t="s">
        <v>1342</v>
      </c>
      <c r="C49" s="3312"/>
      <c r="D49" s="1477">
        <v>0</v>
      </c>
      <c r="E49" s="316" t="s">
        <v>1343</v>
      </c>
      <c r="F49" s="2232" t="s">
        <v>28</v>
      </c>
      <c r="G49" s="3295"/>
      <c r="H49" s="2133" t="s">
        <v>2131</v>
      </c>
      <c r="I49" s="2134"/>
      <c r="J49" s="2309">
        <v>4</v>
      </c>
      <c r="K49" s="3263" t="str">
        <f>IF(项目基本情况!E8="房地产抵押价值","房地产抵押价值","抵押担保权已注销时的房地产抵押价值")</f>
        <v>房地产抵押价值</v>
      </c>
      <c r="L49" s="3263"/>
      <c r="M49" s="3267">
        <f ca="1">D45</f>
        <v>582</v>
      </c>
      <c r="N49" s="3267"/>
      <c r="O49" s="3267"/>
    </row>
    <row r="50" spans="1:35" ht="25.5" customHeight="1">
      <c r="A50" s="2336"/>
      <c r="B50" s="3312" t="s">
        <v>1344</v>
      </c>
      <c r="C50" s="3312"/>
      <c r="D50" s="2188"/>
      <c r="E50" s="323"/>
      <c r="F50" s="2232"/>
      <c r="G50" s="3296"/>
      <c r="H50" s="2135" t="s">
        <v>2132</v>
      </c>
      <c r="I50" s="2134"/>
      <c r="J50" s="3262" t="s">
        <v>1345</v>
      </c>
      <c r="K50" s="3262"/>
      <c r="L50" s="3262"/>
      <c r="M50" s="3262"/>
      <c r="N50" s="3262"/>
      <c r="O50" s="3262"/>
    </row>
    <row r="51" spans="1:35" ht="20.399999999999999" customHeight="1">
      <c r="A51" s="2337"/>
      <c r="B51" s="3312" t="s">
        <v>1346</v>
      </c>
      <c r="C51" s="3312"/>
      <c r="D51" s="1024"/>
      <c r="E51" s="319"/>
      <c r="F51" s="2232"/>
      <c r="G51" s="3297"/>
      <c r="H51" s="2135" t="s">
        <v>2133</v>
      </c>
      <c r="I51" s="2134"/>
      <c r="J51" s="2310" t="s">
        <v>1347</v>
      </c>
      <c r="K51" s="3263" t="s">
        <v>1348</v>
      </c>
      <c r="L51" s="3263"/>
      <c r="M51" s="2310" t="s">
        <v>1349</v>
      </c>
      <c r="N51" s="2310" t="s">
        <v>1350</v>
      </c>
      <c r="O51" s="2310" t="s">
        <v>1351</v>
      </c>
    </row>
    <row r="52" spans="1:35" ht="24" customHeight="1">
      <c r="A52" s="2152" t="s">
        <v>1352</v>
      </c>
      <c r="B52" s="3312" t="s">
        <v>1353</v>
      </c>
      <c r="C52" s="3312"/>
      <c r="D52" s="1024">
        <f ca="1">ROUND(D45*'数据-取费表'!B41/(1+'数据-取费表'!C42),0)</f>
        <v>31</v>
      </c>
      <c r="E52" s="1255" t="s">
        <v>1354</v>
      </c>
      <c r="F52" s="2338">
        <f>'数据-取费表'!B41</f>
        <v>5.6000000000000001E-2</v>
      </c>
      <c r="G52" s="2339"/>
      <c r="H52" s="2329"/>
      <c r="I52" s="1668"/>
      <c r="J52" s="2309">
        <v>1</v>
      </c>
      <c r="K52" s="3289" t="s">
        <v>1355</v>
      </c>
      <c r="L52" s="3289"/>
      <c r="M52" s="2311">
        <f ca="1">D48</f>
        <v>0</v>
      </c>
      <c r="N52" s="2309" t="str">
        <f>E48</f>
        <v>(销售额-原购置价)×税（费）率</v>
      </c>
      <c r="O52" s="2312">
        <f>F48</f>
        <v>5.6000000000000001E-2</v>
      </c>
    </row>
    <row r="53" spans="1:35" ht="12" customHeight="1">
      <c r="A53" s="2152" t="s">
        <v>1356</v>
      </c>
      <c r="B53" s="3313" t="s">
        <v>2288</v>
      </c>
      <c r="C53" s="3314"/>
      <c r="D53" s="1024">
        <f ca="1">ROUND(D45*'数据-取费表'!B41/(1+'数据-取费表'!C42),0)</f>
        <v>31</v>
      </c>
      <c r="E53" s="1255" t="s">
        <v>1354</v>
      </c>
      <c r="F53" s="2338">
        <f>'数据-取费表'!B41</f>
        <v>5.6000000000000001E-2</v>
      </c>
      <c r="G53" s="2339"/>
      <c r="H53" s="2329"/>
      <c r="I53" s="1668"/>
      <c r="J53" s="2309">
        <v>2</v>
      </c>
      <c r="K53" s="3289" t="s">
        <v>1357</v>
      </c>
      <c r="L53" s="3289"/>
      <c r="M53" s="2311">
        <f t="shared" ref="M53:O54" ca="1" si="0">D55</f>
        <v>0.28999999999999998</v>
      </c>
      <c r="N53" s="2309" t="str">
        <f t="shared" si="0"/>
        <v>销售额×税（费）率</v>
      </c>
      <c r="O53" s="2312">
        <f t="shared" si="0"/>
        <v>5.0000000000000001E-4</v>
      </c>
    </row>
    <row r="54" spans="1:35" ht="12" customHeight="1">
      <c r="A54" s="2152" t="s">
        <v>1358</v>
      </c>
      <c r="B54" s="3313" t="s">
        <v>2289</v>
      </c>
      <c r="C54" s="3314"/>
      <c r="D54" s="1024">
        <f ca="1">C68</f>
        <v>0</v>
      </c>
      <c r="E54" s="319" t="s">
        <v>1359</v>
      </c>
      <c r="F54" s="2338">
        <f>'数据-取费表'!B41</f>
        <v>5.6000000000000001E-2</v>
      </c>
      <c r="G54" s="2339"/>
      <c r="H54" s="2340"/>
      <c r="I54" s="1668"/>
      <c r="J54" s="2309">
        <v>3</v>
      </c>
      <c r="K54" s="3289" t="s">
        <v>1360</v>
      </c>
      <c r="L54" s="3289"/>
      <c r="M54" s="2311">
        <f t="shared" ca="1" si="0"/>
        <v>0</v>
      </c>
      <c r="N54" s="2309" t="str">
        <f t="shared" si="0"/>
        <v>增值额×税（费）率</v>
      </c>
      <c r="O54" s="2313" t="str">
        <f t="shared" si="0"/>
        <v>——</v>
      </c>
    </row>
    <row r="55" spans="1:35" ht="24" customHeight="1">
      <c r="A55" s="3349" t="s">
        <v>1361</v>
      </c>
      <c r="B55" s="3327"/>
      <c r="C55" s="3327"/>
      <c r="D55" s="12">
        <f ca="1">IF(H55="个人住宅",0,ROUND(D45*I55,2))</f>
        <v>0.28999999999999998</v>
      </c>
      <c r="E55" s="1255" t="s">
        <v>1362</v>
      </c>
      <c r="F55" s="2338">
        <f>IF(H55="正常",I55,"免征")</f>
        <v>5.0000000000000001E-4</v>
      </c>
      <c r="G55" s="2339"/>
      <c r="H55" s="2335" t="s">
        <v>3450</v>
      </c>
      <c r="I55" s="157">
        <f>'数据-取费表'!B49</f>
        <v>5.0000000000000001E-4</v>
      </c>
      <c r="J55" s="2309" t="str">
        <f>IF(H59="非个人房产","",4)</f>
        <v/>
      </c>
      <c r="K55" s="3289" t="str">
        <f>IF(H59="非个人房产","——","个人所得税")</f>
        <v>——</v>
      </c>
      <c r="L55" s="3289"/>
      <c r="M55" s="2314" t="str">
        <f>D59</f>
        <v>——</v>
      </c>
      <c r="N55" s="1882" t="str">
        <f>E59</f>
        <v>——</v>
      </c>
      <c r="O55" s="2315" t="str">
        <f>F59</f>
        <v>——</v>
      </c>
    </row>
    <row r="56" spans="1:35" ht="25.2">
      <c r="A56" s="3349" t="s">
        <v>1363</v>
      </c>
      <c r="B56" s="3327"/>
      <c r="C56" s="3327"/>
      <c r="D56" s="12">
        <f ca="1">IF(H56="个人住宅",D57,D58)</f>
        <v>0</v>
      </c>
      <c r="E56" s="1255" t="s">
        <v>1364</v>
      </c>
      <c r="F56" s="2338" t="str">
        <f>IF(H56="正常",F58,"免征")</f>
        <v>——</v>
      </c>
      <c r="G56" s="2341" t="s">
        <v>1365</v>
      </c>
      <c r="H56" s="2342" t="s">
        <v>3450</v>
      </c>
      <c r="I56" s="1669"/>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3.2">
      <c r="A57" s="2152" t="s">
        <v>1341</v>
      </c>
      <c r="B57" s="3313" t="s">
        <v>1366</v>
      </c>
      <c r="C57" s="3314"/>
      <c r="D57" s="1477">
        <v>0</v>
      </c>
      <c r="E57" s="316" t="s">
        <v>1343</v>
      </c>
      <c r="F57" s="294"/>
      <c r="G57" s="2339"/>
      <c r="H57" s="2343"/>
      <c r="I57" s="1669"/>
      <c r="J57" s="3289">
        <f>IF(AND(J55="",J56=""),4,IF(项目基本情况!K6="上海银行",结果表1805!J56+1,结果表1805!J55+1))</f>
        <v>4</v>
      </c>
      <c r="K57" s="3289" t="s">
        <v>1367</v>
      </c>
      <c r="L57" s="2316" t="s">
        <v>1368</v>
      </c>
      <c r="M57" s="2317"/>
      <c r="N57" s="2318">
        <f ca="1">SUMIF(M52:M56,"&lt;9e307")</f>
        <v>0.28999999999999998</v>
      </c>
      <c r="O57" s="2319"/>
      <c r="P57" s="2462">
        <f ca="1">N57/M49</f>
        <v>4.9828178694158074E-4</v>
      </c>
    </row>
    <row r="58" spans="1:35" ht="25.2">
      <c r="A58" s="2152" t="s">
        <v>1352</v>
      </c>
      <c r="B58" s="3313" t="s">
        <v>1369</v>
      </c>
      <c r="C58" s="3312"/>
      <c r="D58" s="12">
        <f ca="1">IF(H58="转让取得",C81,C97)</f>
        <v>0</v>
      </c>
      <c r="E58" s="1255" t="s">
        <v>1364</v>
      </c>
      <c r="F58" s="294" t="s">
        <v>28</v>
      </c>
      <c r="G58" s="2339"/>
      <c r="H58" s="2342" t="s">
        <v>3524</v>
      </c>
      <c r="I58" s="1669"/>
      <c r="J58" s="3289"/>
      <c r="K58" s="3289"/>
      <c r="L58" s="2316" t="s">
        <v>1370</v>
      </c>
      <c r="M58" s="2320"/>
      <c r="N58" s="2321" t="str">
        <f ca="1">NUMBERSTRING(INT(N57*10000),2)&amp;"元整"</f>
        <v>贰仟玖佰元整</v>
      </c>
      <c r="O58" s="2322"/>
    </row>
    <row r="59" spans="1:35" ht="24.6" thickBot="1">
      <c r="A59" s="3293" t="s">
        <v>1371</v>
      </c>
      <c r="B59" s="3294"/>
      <c r="C59" s="329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3525</v>
      </c>
      <c r="I59" s="2136" t="s">
        <v>2134</v>
      </c>
      <c r="J59" s="3291">
        <f>J57+1</f>
        <v>5</v>
      </c>
      <c r="K59" s="3289" t="s">
        <v>1372</v>
      </c>
      <c r="L59" s="2309" t="s">
        <v>1368</v>
      </c>
      <c r="M59" s="2323"/>
      <c r="N59" s="2324">
        <f ca="1">M49-N57</f>
        <v>581.71</v>
      </c>
      <c r="O59" s="2325"/>
    </row>
    <row r="60" spans="1:35" ht="12" customHeight="1">
      <c r="A60" s="1670"/>
      <c r="B60" s="646"/>
      <c r="C60" s="646"/>
      <c r="D60" s="646"/>
      <c r="E60" s="1465"/>
      <c r="F60" s="1669"/>
      <c r="G60" s="1669"/>
      <c r="H60" s="151"/>
      <c r="I60" s="121"/>
      <c r="J60" s="3292"/>
      <c r="K60" s="3289"/>
      <c r="L60" s="2316" t="s">
        <v>1370</v>
      </c>
      <c r="M60" s="2320"/>
      <c r="N60" s="2321" t="str">
        <f ca="1">NUMBERSTRING(INT(N59*10000),2)&amp;"元整"</f>
        <v>伍佰捌拾壹万柒仟壹佰元整</v>
      </c>
      <c r="O60" s="2322"/>
    </row>
    <row r="61" spans="1:35" ht="13.8" thickBot="1">
      <c r="A61" s="3348" t="s">
        <v>1373</v>
      </c>
      <c r="B61" s="3348"/>
      <c r="C61" s="3348"/>
      <c r="D61" s="3348"/>
      <c r="E61" s="3348"/>
      <c r="F61" s="1669"/>
      <c r="G61" s="1669"/>
      <c r="H61" s="151"/>
      <c r="I61" s="121"/>
      <c r="J61" s="2309">
        <f>J59+1</f>
        <v>6</v>
      </c>
      <c r="K61" s="3289" t="s">
        <v>1374</v>
      </c>
      <c r="L61" s="3289"/>
      <c r="M61" s="2326"/>
      <c r="N61" s="3165">
        <f ca="1">ROUND(N59*10000/面积清单!H9,0)</f>
        <v>6513</v>
      </c>
      <c r="O61" s="2327"/>
    </row>
    <row r="62" spans="1:35" ht="13.2">
      <c r="A62" s="3308" t="s">
        <v>1375</v>
      </c>
      <c r="B62" s="3309"/>
      <c r="C62" s="1864"/>
      <c r="D62" s="1864" t="s">
        <v>1376</v>
      </c>
      <c r="E62" s="158" t="s">
        <v>1377</v>
      </c>
      <c r="F62" s="1669"/>
      <c r="G62" s="1669"/>
      <c r="H62" s="151"/>
      <c r="I62" s="121"/>
    </row>
    <row r="63" spans="1:35" ht="13.2">
      <c r="A63" s="165" t="s">
        <v>330</v>
      </c>
      <c r="B63" s="159" t="s">
        <v>1378</v>
      </c>
      <c r="C63" s="2348">
        <f ca="1">ROUND((C64+C65)/(1+'数据-取费表'!C42),0)</f>
        <v>554</v>
      </c>
      <c r="D63" s="159"/>
      <c r="E63" s="160"/>
      <c r="F63" s="1669"/>
      <c r="G63" s="1669"/>
      <c r="H63" s="151"/>
      <c r="I63" s="121"/>
      <c r="J63" s="3272" t="s">
        <v>1379</v>
      </c>
      <c r="K63" s="1245" t="s">
        <v>1380</v>
      </c>
      <c r="L63" s="1245">
        <f ca="1">IF(M49&gt;10000,M49*0.5%,IF(AND(M49&gt;1000,M49&lt;=10000),M49*1%,IF(AND(M49&gt;100,M49&lt;=1000),M49*3%,IF(AND(M49&gt;10,M49&lt;=100),M49*5%,M49*8%))))</f>
        <v>17.46</v>
      </c>
      <c r="M63" s="294">
        <f ca="1">ROUND(L63,1)</f>
        <v>17.5</v>
      </c>
      <c r="N63" s="2328"/>
      <c r="Z63" s="1622"/>
      <c r="AI63" s="1560"/>
    </row>
    <row r="64" spans="1:35" ht="14.25" customHeight="1">
      <c r="A64" s="161" t="s">
        <v>325</v>
      </c>
      <c r="B64" s="162" t="s">
        <v>1381</v>
      </c>
      <c r="C64" s="2349">
        <f ca="1">D45</f>
        <v>582</v>
      </c>
      <c r="D64" s="162" t="s">
        <v>26</v>
      </c>
      <c r="E64" s="164"/>
      <c r="F64" s="1669"/>
      <c r="G64" s="1669"/>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4.0739999999999998</v>
      </c>
      <c r="M64" s="294">
        <f t="shared" ref="M64:M65" ca="1" si="1">ROUND(L64,1)</f>
        <v>4.0999999999999996</v>
      </c>
      <c r="N64" s="2329" t="s">
        <v>1383</v>
      </c>
      <c r="Z64" s="1622"/>
      <c r="AI64" s="1560"/>
    </row>
    <row r="65" spans="1:35" ht="14.25" customHeight="1">
      <c r="A65" s="161" t="s">
        <v>326</v>
      </c>
      <c r="B65" s="162" t="s">
        <v>1384</v>
      </c>
      <c r="C65" s="2350"/>
      <c r="D65" s="162"/>
      <c r="E65" s="164"/>
      <c r="F65" s="1669"/>
      <c r="G65" s="1669"/>
      <c r="H65" s="151"/>
      <c r="I65" s="121"/>
      <c r="J65" s="3272"/>
      <c r="K65" s="1245" t="s">
        <v>1385</v>
      </c>
      <c r="L65" s="1245">
        <f ca="1">IF(M49&gt;1000,M49*0.1%,IF(AND(M49&gt;500,M49&lt;=1000),M49*0.5%,IF(AND(M49&gt;50,M49&lt;=500),M49*1%,IF(AND(M49&gt;1,M49&lt;=50),M49*1.5%))))</f>
        <v>2.91</v>
      </c>
      <c r="M65" s="294">
        <f t="shared" ca="1" si="1"/>
        <v>2.9</v>
      </c>
      <c r="N65" s="2329" t="s">
        <v>1383</v>
      </c>
      <c r="Z65" s="1622"/>
      <c r="AI65" s="1560"/>
    </row>
    <row r="66" spans="1:35" ht="14.25" customHeight="1">
      <c r="A66" s="165" t="s">
        <v>327</v>
      </c>
      <c r="B66" s="166" t="s">
        <v>1386</v>
      </c>
      <c r="C66" s="2351">
        <f>ROUND(面积清单!L9/1.05/10000,0)</f>
        <v>3481</v>
      </c>
      <c r="D66" s="166" t="s">
        <v>26</v>
      </c>
      <c r="E66" s="1250" t="s">
        <v>671</v>
      </c>
      <c r="F66" s="1669"/>
      <c r="G66" s="1669"/>
      <c r="H66" s="151"/>
      <c r="I66" s="121"/>
      <c r="J66" s="3272"/>
      <c r="K66" s="1245" t="s">
        <v>1387</v>
      </c>
      <c r="L66" s="1245">
        <f ca="1">M49*0.5%</f>
        <v>2.91</v>
      </c>
      <c r="M66" s="294">
        <f ca="1">IF(L66&gt;0.5,0.5,ROUND(L66,0))</f>
        <v>0.5</v>
      </c>
      <c r="N66" s="2329" t="s">
        <v>1388</v>
      </c>
      <c r="Z66" s="1622"/>
      <c r="AI66" s="1560"/>
    </row>
    <row r="67" spans="1:35" ht="14.25" customHeight="1">
      <c r="A67" s="165" t="s">
        <v>328</v>
      </c>
      <c r="B67" s="166" t="s">
        <v>1389</v>
      </c>
      <c r="C67" s="2352">
        <f ca="1">C63-C66</f>
        <v>-2927</v>
      </c>
      <c r="D67" s="162" t="s">
        <v>26</v>
      </c>
      <c r="E67" s="164"/>
      <c r="F67" s="1669"/>
      <c r="G67" s="1669"/>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1.7050000000000001</v>
      </c>
      <c r="M67" s="294">
        <f ca="1">ROUND(L67*0.9,1)</f>
        <v>1.5</v>
      </c>
      <c r="N67" s="2328"/>
      <c r="Z67" s="1622"/>
      <c r="AI67" s="1560"/>
    </row>
    <row r="68" spans="1:35" ht="14.25" customHeight="1" thickBot="1">
      <c r="A68" s="168" t="s">
        <v>329</v>
      </c>
      <c r="B68" s="169" t="s">
        <v>1391</v>
      </c>
      <c r="C68" s="2353">
        <f ca="1">IF(C67&lt;=0,0,ROUND(C67*D68,0))</f>
        <v>0</v>
      </c>
      <c r="D68" s="2354">
        <f>'数据-取费表'!B41</f>
        <v>5.6000000000000001E-2</v>
      </c>
      <c r="E68" s="170"/>
      <c r="F68" s="1669"/>
      <c r="G68" s="1669"/>
      <c r="H68" s="151"/>
      <c r="I68" s="121"/>
      <c r="J68" s="3272"/>
      <c r="K68" s="1245" t="s">
        <v>1392</v>
      </c>
      <c r="L68" s="1245">
        <f ca="1">IF(M49&gt;10000,M49*0.5%,IF(AND(M49&gt;5000,M49&lt;=10000),M49*1%,IF(AND(M49&gt;1000,M49&lt;=5000),M49*2%,IF(AND(M49&gt;200,M49&lt;=1000),M49*3%,M49*5%))))</f>
        <v>17.46</v>
      </c>
      <c r="M68" s="294">
        <f ca="1">ROUND(L68,1)</f>
        <v>17.5</v>
      </c>
      <c r="N68" s="2328"/>
      <c r="Z68" s="1622"/>
      <c r="AI68" s="1560"/>
    </row>
    <row r="69" spans="1:35" ht="16.5" customHeight="1">
      <c r="A69" s="1671"/>
      <c r="B69" s="1672"/>
      <c r="C69" s="1673"/>
      <c r="D69" s="1674"/>
      <c r="E69" s="1675"/>
      <c r="F69" s="1465"/>
      <c r="G69" s="1465"/>
      <c r="H69" s="1466"/>
      <c r="I69" s="646"/>
      <c r="J69" s="3272"/>
      <c r="K69" s="1245" t="s">
        <v>1393</v>
      </c>
      <c r="L69" s="1245"/>
      <c r="M69" s="294">
        <f ca="1">ROUND(SUM(M63:M68),0)</f>
        <v>44</v>
      </c>
      <c r="N69" s="2330">
        <f ca="1">M69/M49</f>
        <v>7.560137457044673E-2</v>
      </c>
      <c r="Z69" s="1622"/>
      <c r="AI69" s="1560"/>
    </row>
    <row r="70" spans="1:35" s="642" customFormat="1" ht="14.4" thickBot="1">
      <c r="A70" s="3316" t="s">
        <v>1394</v>
      </c>
      <c r="B70" s="3317"/>
      <c r="C70" s="3317"/>
      <c r="D70" s="3317"/>
      <c r="E70" s="3317"/>
      <c r="F70" s="3317"/>
      <c r="G70" s="3317"/>
      <c r="H70" s="331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08" t="s">
        <v>1375</v>
      </c>
      <c r="B71" s="330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2">
        <f ca="1">ROUND(D45/(1+'数据-取费表'!C42),0)</f>
        <v>554</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2">
        <f ca="1">C74+C78</f>
        <v>1012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1009</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3168">
        <f>面积清单!L6/10000</f>
        <v>786.97640000000001</v>
      </c>
      <c r="D75" s="162" t="s">
        <v>26</v>
      </c>
      <c r="E75" s="176" t="s">
        <v>1399</v>
      </c>
      <c r="F75" s="2356" t="s">
        <v>3526</v>
      </c>
      <c r="G75" s="176" t="s">
        <v>1400</v>
      </c>
      <c r="H75" s="2357">
        <f>2024-2018</f>
        <v>6</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236</v>
      </c>
      <c r="D76" s="2358">
        <v>0.05</v>
      </c>
      <c r="E76" s="3313" t="s">
        <v>1402</v>
      </c>
      <c r="F76" s="3312"/>
      <c r="G76" s="3312"/>
      <c r="H76" s="331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23</v>
      </c>
      <c r="D77" s="2359">
        <f>'数据-取费表'!B48+'数据-取费表'!B49</f>
        <v>3.0499999999999999E-2</v>
      </c>
      <c r="E77" s="12" t="s">
        <v>1404</v>
      </c>
      <c r="F77" s="178"/>
      <c r="G77" s="1681" t="s">
        <v>3532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3</v>
      </c>
      <c r="D78" s="2361">
        <f>'数据-取费表'!B43</f>
        <v>6.000000000000001E-3</v>
      </c>
      <c r="E78" s="3305" t="s">
        <v>1406</v>
      </c>
      <c r="F78" s="3306"/>
      <c r="G78" s="3306"/>
      <c r="H78" s="33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328</v>
      </c>
      <c r="B79" s="166" t="s">
        <v>1407</v>
      </c>
      <c r="C79" s="2352">
        <f ca="1">C72-C73</f>
        <v>-458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6" t="s">
        <v>1410</v>
      </c>
      <c r="B83" s="3317"/>
      <c r="C83" s="3317"/>
      <c r="D83" s="3317"/>
      <c r="E83" s="3317"/>
      <c r="F83" s="3317"/>
      <c r="G83" s="3317"/>
      <c r="H83" s="331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08" t="s">
        <v>1375</v>
      </c>
      <c r="B84" s="330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2">
        <f ca="1">ROUND(D45/(1+'数据-取费表'!C42),0)</f>
        <v>554</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2">
        <f ca="1">IF(H88="仅含出让金",C87+C90+C91+C92+C93+C94,C87+C91+C92+C93+C94)</f>
        <v>3</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6"/>
      <c r="D88" s="2361"/>
      <c r="E88" s="185" t="s">
        <v>1413</v>
      </c>
      <c r="F88" s="2147"/>
      <c r="G88" s="186" t="s">
        <v>1414</v>
      </c>
      <c r="H88" s="1683"/>
      <c r="I88" s="1680"/>
      <c r="J88" s="2307"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6"/>
      <c r="D90" s="2361"/>
      <c r="E90" s="185" t="str">
        <f>IF(H88="-","土地取得成本中已包含该笔费用"," ")</f>
        <v xml:space="preserve"> </v>
      </c>
      <c r="F90" s="2147"/>
      <c r="G90" s="3274" t="s">
        <v>2126</v>
      </c>
      <c r="H90" s="3275"/>
      <c r="I90" s="1680"/>
      <c r="J90" s="2307"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305" t="s">
        <v>1419</v>
      </c>
      <c r="F91" s="3306"/>
      <c r="G91" s="330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05" t="s">
        <v>1422</v>
      </c>
      <c r="F92" s="3306"/>
      <c r="G92" s="3306"/>
      <c r="H92" s="3307"/>
      <c r="I92" s="1680"/>
      <c r="J92" s="2308"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3</v>
      </c>
      <c r="D93" s="2361">
        <f>'数据-取费表'!B43</f>
        <v>6.000000000000001E-3</v>
      </c>
      <c r="E93" s="3305" t="s">
        <v>1406</v>
      </c>
      <c r="F93" s="3306"/>
      <c r="G93" s="3306"/>
      <c r="H93" s="33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50" t="s">
        <v>1426</v>
      </c>
      <c r="F94" s="3351"/>
      <c r="G94" s="3351"/>
      <c r="H94" s="33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328</v>
      </c>
      <c r="B95" s="166" t="s">
        <v>1407</v>
      </c>
      <c r="C95" s="2352">
        <f ca="1">ROUND(C85-C86,0)</f>
        <v>551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f ca="1">IF(C95&lt;=0,0,C95/C86)</f>
        <v>183.66666666666666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3">
        <f ca="1">ROUND(IF(C95&lt;=0,0,IF(C96&gt;=200%,C95*60%-C86*35%,IF(C96&gt;=100%,C95*50%-C86*15%,IF(C96&gt;=50%,C95*40%-C86*5%,IF(C96&lt;50%,C95*30%,0))))),0)</f>
        <v>330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4" t="s">
        <v>1428</v>
      </c>
      <c r="B100" s="3255"/>
      <c r="C100" s="3255"/>
      <c r="D100" s="3290"/>
      <c r="E100" s="3255" t="s">
        <v>1429</v>
      </c>
      <c r="F100" s="3255"/>
      <c r="G100" s="3255"/>
      <c r="H100" s="3290"/>
      <c r="I100" s="121"/>
    </row>
    <row r="101" spans="1:35" ht="18.75" customHeight="1">
      <c r="A101" s="3298" t="s">
        <v>1430</v>
      </c>
      <c r="B101" s="3299"/>
      <c r="C101" s="2369" t="str">
        <f>C4</f>
        <v>比较法-办公</v>
      </c>
      <c r="D101" s="2370" t="str">
        <f>D4</f>
        <v>收益法 (元)</v>
      </c>
      <c r="E101" s="3268" t="s">
        <v>1431</v>
      </c>
      <c r="F101" s="3269"/>
      <c r="G101" s="1686" t="s">
        <v>1432</v>
      </c>
      <c r="H101" s="2379">
        <f ca="1">H118</f>
        <v>508</v>
      </c>
      <c r="I101" s="121"/>
    </row>
    <row r="102" spans="1:35" ht="18.75" customHeight="1">
      <c r="A102" s="3300" t="s">
        <v>1433</v>
      </c>
      <c r="B102" s="2368" t="s">
        <v>1432</v>
      </c>
      <c r="C102" s="2369">
        <f ca="1">IF(D32="楼面单价",ROUND(C19,0),C19)</f>
        <v>572</v>
      </c>
      <c r="D102" s="2370">
        <f ca="1">IF(D32="楼面单价",ROUND(D19,0),D19)</f>
        <v>357</v>
      </c>
      <c r="E102" s="3268"/>
      <c r="F102" s="3269"/>
      <c r="G102" s="1686" t="s">
        <v>1434</v>
      </c>
      <c r="H102" s="2339">
        <f ca="1">I118</f>
        <v>28279</v>
      </c>
      <c r="I102" s="121"/>
    </row>
    <row r="103" spans="1:35" ht="42.75" customHeight="1">
      <c r="A103" s="3300"/>
      <c r="B103" s="2368" t="s">
        <v>1434</v>
      </c>
      <c r="C103" s="2371">
        <f ca="1">C20</f>
        <v>31865</v>
      </c>
      <c r="D103" s="2372">
        <f ca="1">D20</f>
        <v>19912</v>
      </c>
      <c r="E103" s="3260" t="s">
        <v>1435</v>
      </c>
      <c r="F103" s="3261"/>
      <c r="G103" s="1687" t="s">
        <v>1436</v>
      </c>
      <c r="H103" s="2379">
        <f>IF(D36="正常操作",H104+H105+H106,H105+H106)</f>
        <v>0</v>
      </c>
      <c r="I103" s="121"/>
    </row>
    <row r="104" spans="1:35" ht="18.75" customHeight="1">
      <c r="A104" s="3300" t="s">
        <v>1437</v>
      </c>
      <c r="B104" s="2373" t="s">
        <v>1432</v>
      </c>
      <c r="C104" s="2374">
        <f ca="1">H118</f>
        <v>508</v>
      </c>
      <c r="D104" s="2375"/>
      <c r="E104" s="1554" t="s">
        <v>1438</v>
      </c>
      <c r="F104" s="1547"/>
      <c r="G104" s="1687" t="s">
        <v>1436</v>
      </c>
      <c r="H104" s="2380">
        <f>IF(D36="同一抵押权人同一抵押物续贷",C36&amp;"（续贷，未扣减，详见特别提示）",C36)</f>
        <v>0</v>
      </c>
      <c r="I104" s="121"/>
    </row>
    <row r="105" spans="1:35" ht="18.75" customHeight="1" thickBot="1">
      <c r="A105" s="3310"/>
      <c r="B105" s="2376" t="s">
        <v>1434</v>
      </c>
      <c r="C105" s="2377">
        <f ca="1">I118</f>
        <v>28279</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01" t="str">
        <f>IF(项目基本情况!E8="已注销","——","3.房地产抵押价值")</f>
        <v>3.房地产抵押价值</v>
      </c>
      <c r="F107" s="3269"/>
      <c r="G107" s="1686" t="s">
        <v>1432</v>
      </c>
      <c r="H107" s="2379">
        <f ca="1">IF(E107="——","——",H101-H103)</f>
        <v>508</v>
      </c>
      <c r="I107" s="121"/>
    </row>
    <row r="108" spans="1:35" ht="18.75" customHeight="1">
      <c r="A108" s="121"/>
      <c r="B108" s="121"/>
      <c r="C108" s="121"/>
      <c r="D108" s="121"/>
      <c r="E108" s="3301"/>
      <c r="F108" s="3269"/>
      <c r="G108" s="1686" t="s">
        <v>1434</v>
      </c>
      <c r="H108" s="2339">
        <f ca="1">IF(H107=H101,H102,ROUND(H107*10000/'数据-汇总表'!E3,0))</f>
        <v>28279</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6" t="s">
        <v>1432</v>
      </c>
      <c r="H109" s="2382" t="str">
        <f>IF(E109="——","——",H101-H105-H106)</f>
        <v>——</v>
      </c>
      <c r="I109" s="121"/>
    </row>
    <row r="110" spans="1:35" ht="18.75" customHeight="1">
      <c r="A110" s="121"/>
      <c r="B110" s="121"/>
      <c r="C110" s="121"/>
      <c r="D110" s="121"/>
      <c r="E110" s="3301"/>
      <c r="F110" s="3269"/>
      <c r="G110" s="1686" t="s">
        <v>1434</v>
      </c>
      <c r="H110" s="2339"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4.抵押净值</v>
      </c>
      <c r="F111" s="3288"/>
      <c r="G111" s="1686" t="s">
        <v>1432</v>
      </c>
      <c r="H111" s="2379">
        <f ca="1">IF(E111="——","——",N59)</f>
        <v>581.71</v>
      </c>
      <c r="I111" s="121"/>
    </row>
    <row r="112" spans="1:35" ht="18.75" customHeight="1" thickBot="1">
      <c r="A112" s="121"/>
      <c r="B112" s="121"/>
      <c r="C112" s="121"/>
      <c r="D112" s="121"/>
      <c r="E112" s="3303"/>
      <c r="F112" s="3304"/>
      <c r="G112" s="1689" t="s">
        <v>1434</v>
      </c>
      <c r="H112" s="2383">
        <f ca="1">IF(E111="——","——",N61)</f>
        <v>6513</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0"/>
      <c r="F114" s="1670"/>
      <c r="G114" s="1670"/>
      <c r="H114" s="1670"/>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49" t="s">
        <v>1449</v>
      </c>
      <c r="E117" s="2149" t="s">
        <v>1450</v>
      </c>
      <c r="F117" s="2149" t="s">
        <v>1449</v>
      </c>
      <c r="G117" s="2149" t="s">
        <v>1451</v>
      </c>
      <c r="H117" s="2149" t="s">
        <v>1449</v>
      </c>
      <c r="I117" s="2149" t="s">
        <v>1451</v>
      </c>
    </row>
    <row r="118" spans="1:27" ht="24.75" customHeight="1">
      <c r="A118" s="2384" t="str">
        <f>项目基本情况!S2</f>
        <v>北京市朝阳区东三环南路98号1幢房地产</v>
      </c>
      <c r="B118" s="2149">
        <f>M18</f>
        <v>179.5</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508</v>
      </c>
      <c r="I118" s="2149">
        <f ca="1">ROUND(IF(D32="楼面单价",C32,H118*10000/B118),0)</f>
        <v>28279</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伍佰零捌万元整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508</v>
      </c>
      <c r="E122" s="3278"/>
      <c r="F122" s="3278"/>
      <c r="G122" s="3278"/>
      <c r="H122" s="3278"/>
      <c r="I122" s="3279"/>
      <c r="AA122" s="684"/>
    </row>
    <row r="123" spans="1:27" ht="18.75" customHeight="1">
      <c r="A123" s="3276" t="s">
        <v>1452</v>
      </c>
      <c r="B123" s="3276"/>
      <c r="C123" s="3276"/>
      <c r="D123" s="3282" t="str">
        <f ca="1">NUMBERSTRING(INT(D122*10000),2)&amp;"元整"</f>
        <v>伍佰零捌万元整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抵押净值</v>
      </c>
      <c r="B126" s="3288"/>
      <c r="C126" s="3288"/>
      <c r="D126" s="3277">
        <f ca="1">H111</f>
        <v>581.71</v>
      </c>
      <c r="E126" s="3278"/>
      <c r="F126" s="3278"/>
      <c r="G126" s="3278"/>
      <c r="H126" s="3278"/>
      <c r="I126" s="3279"/>
      <c r="AA126" s="684"/>
    </row>
    <row r="127" spans="1:27" ht="18.75" customHeight="1">
      <c r="A127" s="3276" t="s">
        <v>1452</v>
      </c>
      <c r="B127" s="3276"/>
      <c r="C127" s="3276"/>
      <c r="D127" s="3282" t="str">
        <f ca="1">NUMBERSTRING(INT(D126*10000),2)&amp;"元整"</f>
        <v>伍佰捌拾壹万柒仟壹佰元整</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D7">
    <cfRule type="cellIs" dxfId="168" priority="6" stopIfTrue="1" operator="equal">
      <formula>25</formula>
    </cfRule>
  </conditionalFormatting>
  <conditionalFormatting sqref="C8:D13">
    <cfRule type="cellIs" dxfId="167" priority="5" stopIfTrue="1" operator="equal">
      <formula>15</formula>
    </cfRule>
  </conditionalFormatting>
  <conditionalFormatting sqref="C14:D16">
    <cfRule type="cellIs" dxfId="166" priority="4" stopIfTrue="1" operator="equal">
      <formula>30</formula>
    </cfRule>
  </conditionalFormatting>
  <conditionalFormatting sqref="E36">
    <cfRule type="expression" dxfId="165" priority="1" stopIfTrue="1">
      <formula>$D$36="同一抵押权人同一抵押物续贷"</formula>
    </cfRule>
  </conditionalFormatting>
  <dataValidations count="23">
    <dataValidation type="list" allowBlank="1" showInputMessage="1" showErrorMessage="1" sqref="D92" xr:uid="{57C35A18-BB3D-4916-A6D4-08EC940E8F48}">
      <formula1>"0,5%,10%"</formula1>
    </dataValidation>
    <dataValidation type="list" allowBlank="1" showInputMessage="1" showErrorMessage="1" sqref="H59" xr:uid="{E37A94FD-E472-4CA6-9EA3-D6D08EF0D961}">
      <formula1>"非个人房产,个人住宅（满五唯一有凭证）,个人其他（有凭证）,个人其他（无凭证）"</formula1>
    </dataValidation>
    <dataValidation type="list" allowBlank="1" showInputMessage="1" showErrorMessage="1" sqref="E103" xr:uid="{6C702174-9966-4DA4-9857-891CDD1CF0C9}">
      <formula1>"2.估价师知悉的法定优先受偿款,2.估价师知悉的除抵押担保权以外的法定优先受偿款"</formula1>
    </dataValidation>
    <dataValidation type="list" allowBlank="1" showInputMessage="1" showErrorMessage="1" sqref="G77" xr:uid="{BCFEBAC9-0C27-4719-BD2B-82FDF70CFA43}">
      <formula1>"个人住宅,2016年5月1日前购买,2016年5月1日后购买"</formula1>
    </dataValidation>
    <dataValidation type="list" allowBlank="1" showInputMessage="1" showErrorMessage="1" sqref="C1" xr:uid="{E9510A5E-EAFD-4CF1-AA66-F2E9B2ACFCB5}">
      <formula1>项目类型</formula1>
    </dataValidation>
    <dataValidation type="list" allowBlank="1" showInputMessage="1" showErrorMessage="1" sqref="I1" xr:uid="{B6325ADF-A61E-474B-9403-A1302A227F14}">
      <formula1>"项目局部,项目全部,——"</formula1>
    </dataValidation>
    <dataValidation type="list" showInputMessage="1" showErrorMessage="1" sqref="G1" xr:uid="{C58270D0-ABEF-4650-9C8E-416BC273E8FB}">
      <formula1>"现房,在建,土地,-"</formula1>
    </dataValidation>
    <dataValidation type="list" allowBlank="1" showInputMessage="1" showErrorMessage="1" sqref="C129" xr:uid="{EC390AB0-B996-412A-B713-2E06A5FAF39A}">
      <formula1>"无,有"</formula1>
    </dataValidation>
    <dataValidation type="list" allowBlank="1" showInputMessage="1" showErrorMessage="1" sqref="F116:G116" xr:uid="{1E5536D2-3A94-4803-9B51-51C6EF1B9CD8}">
      <formula1>"建筑物价值,在建建筑物价值,建筑物/在建建筑物价值"</formula1>
    </dataValidation>
    <dataValidation type="list" allowBlank="1" showInputMessage="1" showErrorMessage="1" sqref="D116:E116" xr:uid="{D27116D9-F09D-4643-ABC5-720EA100F77B}">
      <formula1>"出让国有建设用地使用权价值,划拨国有建设用地使用权价值"</formula1>
    </dataValidation>
    <dataValidation type="list" allowBlank="1" showInputMessage="1" showErrorMessage="1" sqref="C116:C117" xr:uid="{7E0560CD-57E3-4561-85D8-F8F4F901694C}">
      <formula1>"土地面积,分摊土地面积,（分摊）土地面积"</formula1>
    </dataValidation>
    <dataValidation type="list" allowBlank="1" showInputMessage="1" showErrorMessage="1" sqref="B116:B117" xr:uid="{47A60C54-8DCA-4C3D-8382-7656CEFDF756}">
      <formula1>"建筑面积,规划建筑面积,（规划）建筑面积"</formula1>
    </dataValidation>
    <dataValidation type="list" allowBlank="1" showInputMessage="1" showErrorMessage="1" sqref="D36" xr:uid="{91B357DF-1BC9-46C5-9819-19F143A99676}">
      <formula1>"同一抵押权人同一抵押物续贷,注销后放款,正常操作"</formula1>
    </dataValidation>
    <dataValidation type="list" allowBlank="1" showInputMessage="1" showErrorMessage="1" sqref="F75" xr:uid="{94D0BC54-1C30-4E07-84FA-9E7A79DEABE3}">
      <formula1>"买卖合同,购房发票"</formula1>
    </dataValidation>
    <dataValidation type="list" allowBlank="1" showInputMessage="1" showErrorMessage="1" sqref="H88" xr:uid="{4B40F3FE-69E1-4E4E-8A55-51EE7AC7E561}">
      <formula1>"仅含出让金,出让金+开发费"</formula1>
    </dataValidation>
    <dataValidation type="list" allowBlank="1" showInputMessage="1" showErrorMessage="1" sqref="H91" xr:uid="{71C92C8C-A3A2-48C6-ADFE-91A46D522EF0}">
      <formula1>"企业提供（在右侧录入）,——"</formula1>
    </dataValidation>
    <dataValidation type="list" allowBlank="1" showInputMessage="1" showErrorMessage="1" sqref="C33" xr:uid="{DE569A87-9641-448A-B868-97170AE13AE5}">
      <formula1>"成本比率,收益比率,自定义"</formula1>
    </dataValidation>
    <dataValidation type="list" allowBlank="1" showInputMessage="1" showErrorMessage="1" sqref="F45" xr:uid="{ADDF79F1-A47D-46DA-8461-A2C10595254A}">
      <formula1>"100%,70%,56%"</formula1>
    </dataValidation>
    <dataValidation type="list" allowBlank="1" showInputMessage="1" showErrorMessage="1" sqref="D32" xr:uid="{6FDA414C-E953-40AC-A2BD-60E6395E8817}">
      <formula1>"总价,楼面单价"</formula1>
    </dataValidation>
    <dataValidation type="list" allowBlank="1" showInputMessage="1" showErrorMessage="1" sqref="H58" xr:uid="{ED219224-C21B-44D9-8AB4-062324E051A1}">
      <formula1>"转让取得,自行开发建设"</formula1>
    </dataValidation>
    <dataValidation type="list" allowBlank="1" showInputMessage="1" showErrorMessage="1" sqref="H48" xr:uid="{EE25D95B-9B72-440B-8609-533014407A11}">
      <formula1>"情况1,情况2,情况3,情况4"</formula1>
    </dataValidation>
    <dataValidation type="list" allowBlank="1" showInputMessage="1" showErrorMessage="1" sqref="H55:H56" xr:uid="{86BEDE1A-6298-426D-AA3E-36A3818B5E1B}">
      <formula1>"个人住宅,正常"</formula1>
    </dataValidation>
    <dataValidation type="list" allowBlank="1" showInputMessage="1" showErrorMessage="1" sqref="C4:D4 D33" xr:uid="{446ADF1B-73CD-4CBB-B55B-5E8381747D3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ECC55-7B57-4E4A-B55D-DE72D2CCCA2A}">
  <sheetPr>
    <tabColor rgb="FFFF0000"/>
  </sheetPr>
  <dimension ref="A1:AJ512"/>
  <sheetViews>
    <sheetView view="pageBreakPreview" topLeftCell="A46" zoomScaleNormal="100" zoomScaleSheetLayoutView="100" zoomScalePageLayoutView="80" workbookViewId="0">
      <selection activeCell="D56" sqref="D5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v>1511</v>
      </c>
      <c r="D1" s="646"/>
      <c r="E1" s="646"/>
      <c r="F1" s="1620" t="s">
        <v>1263</v>
      </c>
      <c r="G1" s="1452" t="s">
        <v>3393</v>
      </c>
      <c r="H1" s="1620" t="str">
        <f>IF(G1="现房","——","估价对象范围")</f>
        <v>——</v>
      </c>
      <c r="I1" s="1621"/>
    </row>
    <row r="2" spans="1:12" ht="21.75" customHeight="1" thickBot="1">
      <c r="A2" s="3328" t="str">
        <f>项目基本情况!S2</f>
        <v>北京市朝阳区东三环南路98号1幢房地产</v>
      </c>
      <c r="B2" s="3329"/>
      <c r="C2" s="3329"/>
      <c r="D2" s="3329"/>
      <c r="E2" s="3329"/>
      <c r="F2" s="3329"/>
      <c r="G2" s="3329"/>
      <c r="H2" s="3329"/>
      <c r="I2" s="3330"/>
    </row>
    <row r="3" spans="1:12" ht="13.2">
      <c r="A3" s="3332" t="s">
        <v>1264</v>
      </c>
      <c r="B3" s="3333"/>
      <c r="C3" s="3333"/>
      <c r="D3" s="3333"/>
      <c r="E3" s="3333"/>
      <c r="F3" s="3333"/>
      <c r="G3" s="3333"/>
      <c r="H3" s="3333"/>
      <c r="I3" s="3333"/>
    </row>
    <row r="4" spans="1:12" ht="14.4">
      <c r="A4" s="1623" t="s">
        <v>1265</v>
      </c>
      <c r="B4" s="1624" t="s">
        <v>1266</v>
      </c>
      <c r="C4" s="1625" t="s">
        <v>3509</v>
      </c>
      <c r="D4" s="1625" t="s">
        <v>3444</v>
      </c>
      <c r="E4" s="3337" t="s">
        <v>1267</v>
      </c>
      <c r="F4" s="3338"/>
      <c r="G4" s="3338"/>
      <c r="H4" s="3338"/>
      <c r="I4" s="3339"/>
      <c r="K4" s="138" t="str">
        <f>IF(ISNUMBER(FIND("比较法",结果表2006!C4)),"比较法",IF(ISNUMBER(FIND("成本法",结果表2006!C4)),"成本法",IF(ISNUMBER(FIND("假设开发法",结果表2006!C4)),"假设开发法",IF(ISNUMBER(FIND("收益法",结果表2006!C4)),"收益法","基准地价系数修正法"))))</f>
        <v>比较法</v>
      </c>
      <c r="L4" s="138" t="str">
        <f>IF(ISNUMBER(FIND("比较法",结果表2006!D4)),"比较法",IF(ISNUMBER(FIND("成本法",结果表2006!D4)),"成本法",IF(ISNUMBER(FIND("假设开发法",结果表2006!D4)),"假设开发法",IF(ISNUMBER(FIND("收益法",结果表2006!D4)),"收益法","基准地价系数修正法"))))</f>
        <v>收益法</v>
      </c>
    </row>
    <row r="5" spans="1:12" ht="13.2">
      <c r="A5" s="3276" t="s">
        <v>1268</v>
      </c>
      <c r="B5" s="3331">
        <v>25</v>
      </c>
      <c r="C5" s="3334"/>
      <c r="D5" s="3322"/>
      <c r="E5" s="123" t="s">
        <v>1269</v>
      </c>
      <c r="F5" s="1626"/>
      <c r="G5" s="1626"/>
      <c r="H5" s="1626"/>
      <c r="I5" s="1280"/>
    </row>
    <row r="6" spans="1:12" ht="13.2">
      <c r="A6" s="3276"/>
      <c r="B6" s="3331"/>
      <c r="C6" s="3336"/>
      <c r="D6" s="3322"/>
      <c r="E6" s="123" t="s">
        <v>1270</v>
      </c>
      <c r="F6" s="1626"/>
      <c r="G6" s="1626"/>
      <c r="H6" s="1626"/>
      <c r="I6" s="1280"/>
    </row>
    <row r="7" spans="1:12" ht="13.2">
      <c r="A7" s="3276"/>
      <c r="B7" s="3331"/>
      <c r="C7" s="3335"/>
      <c r="D7" s="3322"/>
      <c r="E7" s="123" t="s">
        <v>1271</v>
      </c>
      <c r="F7" s="1626"/>
      <c r="G7" s="1626"/>
      <c r="H7" s="1626"/>
      <c r="I7" s="1280"/>
    </row>
    <row r="8" spans="1:12" ht="13.2">
      <c r="A8" s="3276" t="s">
        <v>1272</v>
      </c>
      <c r="B8" s="3331">
        <v>15</v>
      </c>
      <c r="C8" s="3334"/>
      <c r="D8" s="3322"/>
      <c r="E8" s="123" t="s">
        <v>1273</v>
      </c>
      <c r="F8" s="1626"/>
      <c r="G8" s="1626"/>
      <c r="H8" s="1626"/>
      <c r="I8" s="1280"/>
    </row>
    <row r="9" spans="1:12" ht="13.2">
      <c r="A9" s="3276"/>
      <c r="B9" s="3331"/>
      <c r="C9" s="3335"/>
      <c r="D9" s="3322"/>
      <c r="E9" s="123" t="s">
        <v>1274</v>
      </c>
      <c r="F9" s="1626"/>
      <c r="G9" s="1626"/>
      <c r="H9" s="1626"/>
      <c r="I9" s="1280"/>
    </row>
    <row r="10" spans="1:12" ht="13.2">
      <c r="A10" s="3276" t="s">
        <v>1275</v>
      </c>
      <c r="B10" s="3331">
        <v>15</v>
      </c>
      <c r="C10" s="3334"/>
      <c r="D10" s="3322"/>
      <c r="E10" s="123" t="s">
        <v>1276</v>
      </c>
      <c r="F10" s="1626"/>
      <c r="G10" s="1626"/>
      <c r="H10" s="1626"/>
      <c r="I10" s="1280"/>
    </row>
    <row r="11" spans="1:12" ht="13.2">
      <c r="A11" s="3276"/>
      <c r="B11" s="3331"/>
      <c r="C11" s="3335"/>
      <c r="D11" s="3322"/>
      <c r="E11" s="123" t="s">
        <v>1277</v>
      </c>
      <c r="F11" s="1626"/>
      <c r="G11" s="1626"/>
      <c r="H11" s="1626"/>
      <c r="I11" s="1280"/>
    </row>
    <row r="12" spans="1:12" ht="13.2">
      <c r="A12" s="3276" t="s">
        <v>1278</v>
      </c>
      <c r="B12" s="3331">
        <v>15</v>
      </c>
      <c r="C12" s="3334"/>
      <c r="D12" s="3322"/>
      <c r="E12" s="123" t="s">
        <v>1279</v>
      </c>
      <c r="F12" s="1626"/>
      <c r="G12" s="1626"/>
      <c r="H12" s="1626"/>
      <c r="I12" s="1280"/>
    </row>
    <row r="13" spans="1:12" ht="13.2">
      <c r="A13" s="3276"/>
      <c r="B13" s="3331"/>
      <c r="C13" s="3335"/>
      <c r="D13" s="3322"/>
      <c r="E13" s="123" t="s">
        <v>1280</v>
      </c>
      <c r="F13" s="1626"/>
      <c r="G13" s="1626"/>
      <c r="H13" s="1626"/>
      <c r="I13" s="1280"/>
    </row>
    <row r="14" spans="1:12" ht="13.2">
      <c r="A14" s="3276" t="s">
        <v>1281</v>
      </c>
      <c r="B14" s="3331">
        <v>30</v>
      </c>
      <c r="C14" s="3334">
        <v>7</v>
      </c>
      <c r="D14" s="3322">
        <v>3</v>
      </c>
      <c r="E14" s="123" t="s">
        <v>1282</v>
      </c>
      <c r="F14" s="1626"/>
      <c r="G14" s="1626"/>
      <c r="H14" s="1626"/>
      <c r="I14" s="1280"/>
    </row>
    <row r="15" spans="1:12" ht="13.2">
      <c r="A15" s="3276"/>
      <c r="B15" s="3331"/>
      <c r="C15" s="3336"/>
      <c r="D15" s="3322"/>
      <c r="E15" s="123" t="s">
        <v>1283</v>
      </c>
      <c r="F15" s="1626"/>
      <c r="G15" s="1626"/>
      <c r="H15" s="1626"/>
      <c r="I15" s="1280"/>
    </row>
    <row r="16" spans="1:12" ht="13.2">
      <c r="A16" s="3276"/>
      <c r="B16" s="3331"/>
      <c r="C16" s="3335"/>
      <c r="D16" s="3322"/>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353" t="s">
        <v>2128</v>
      </c>
      <c r="F18" s="3354"/>
      <c r="G18" s="3354"/>
      <c r="H18" s="3354"/>
      <c r="I18" s="3354"/>
      <c r="K18" s="294" t="s">
        <v>1289</v>
      </c>
      <c r="L18" s="294">
        <f>IF(C1="",'数据-汇总表'!E3,SUMIF(项目类型,C1,'数据-汇总表'!E17:E26)+SUMIF(项目类型,C1,'数据-汇总表'!I17:I26))</f>
        <v>179.5</v>
      </c>
      <c r="M18" s="294">
        <f>IF(C1="",'数据-汇总表'!E3,SUMIF(项目类型,C1,'数据-汇总表'!E17:E26))</f>
        <v>179.5</v>
      </c>
    </row>
    <row r="19" spans="1:36" ht="14.4">
      <c r="A19" s="1629" t="s">
        <v>1290</v>
      </c>
      <c r="B19" s="1630" t="s">
        <v>1291</v>
      </c>
      <c r="C19" s="126">
        <f ca="1">SUMIF(INDIRECT("'"&amp;C4&amp;"'"&amp;"!A:A"),结果表2006!B19,INDIRECT("'"&amp;C4&amp;"'"&amp;"!B:B"))</f>
        <v>571.97680000000003</v>
      </c>
      <c r="D19" s="127">
        <f ca="1">SUMIF(INDIRECT("'"&amp;D4&amp;"'"&amp;"!A:A"),结果表2006!B19,INDIRECT("'"&amp;D4&amp;"'"&amp;"!B:B"))</f>
        <v>357.4246</v>
      </c>
      <c r="E19" s="1629" t="s">
        <v>1292</v>
      </c>
      <c r="F19" s="1630" t="s">
        <v>1291</v>
      </c>
      <c r="G19" s="128">
        <f ca="1">ROUND(C19*$C$18+D19*$D$18,0)</f>
        <v>508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SUMIF(INDIRECT("'"&amp;C4&amp;"'"&amp;"!A:A"),结果表2006!B20,INDIRECT("'"&amp;C4&amp;"'"&amp;"!B:B"))</f>
        <v>31865</v>
      </c>
      <c r="D20" s="130">
        <f ca="1">SUMIF(INDIRECT("'"&amp;D4&amp;"'"&amp;"!A:A"),结果表2006!B20,INDIRECT("'"&amp;D4&amp;"'"&amp;"!B:B"))</f>
        <v>19912</v>
      </c>
      <c r="E20" s="1632"/>
      <c r="F20" s="43" t="s">
        <v>1295</v>
      </c>
      <c r="G20" s="131">
        <f ca="1">ROUND(C20*$C$18+D20*$D$18,0)</f>
        <v>28279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0.60027261693794998</v>
      </c>
      <c r="E22" s="121"/>
      <c r="F22" s="121"/>
      <c r="G22" s="121"/>
      <c r="H22" s="121"/>
      <c r="I22" s="121"/>
    </row>
    <row r="23" spans="1:36" ht="13.8" thickBot="1">
      <c r="A23" s="646"/>
      <c r="B23" s="646"/>
      <c r="C23" s="646"/>
      <c r="D23" s="646"/>
      <c r="E23" s="121"/>
      <c r="F23" s="121"/>
      <c r="G23" s="3164" t="s">
        <v>3528</v>
      </c>
      <c r="H23" s="121">
        <f ca="1">N59</f>
        <v>399.8</v>
      </c>
      <c r="I23" s="121"/>
    </row>
    <row r="24" spans="1:36" ht="14.4">
      <c r="A24" s="3346" t="s">
        <v>1299</v>
      </c>
      <c r="B24" s="1630" t="s">
        <v>1291</v>
      </c>
      <c r="C24" s="128">
        <f>IF(B30=0,0,D30)</f>
        <v>0</v>
      </c>
      <c r="D24" s="1636"/>
      <c r="E24" s="121"/>
      <c r="F24" s="121"/>
      <c r="G24" s="3164" t="s">
        <v>3529</v>
      </c>
      <c r="H24" s="121">
        <f ca="1">N61</f>
        <v>4476</v>
      </c>
      <c r="I24" s="121"/>
    </row>
    <row r="25" spans="1:36" ht="14.4">
      <c r="A25" s="334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 customHeight="1" thickTop="1" thickBot="1">
      <c r="A31" s="2127"/>
      <c r="B31" s="2128"/>
      <c r="C31" s="2128"/>
      <c r="D31" s="2128"/>
      <c r="E31" s="2128"/>
      <c r="F31" s="2128"/>
      <c r="G31" s="2128"/>
      <c r="H31" s="2128"/>
      <c r="I31" s="2129" t="s">
        <v>2130</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28279</v>
      </c>
      <c r="D32" s="1640" t="s">
        <v>3511</v>
      </c>
      <c r="E32" s="121"/>
      <c r="F32" s="121"/>
      <c r="G32" s="121"/>
      <c r="H32" s="121"/>
      <c r="I32" s="121"/>
    </row>
    <row r="33" spans="1:15" ht="14.4">
      <c r="A33" s="740" t="s">
        <v>1306</v>
      </c>
      <c r="B33" s="123"/>
      <c r="C33" s="1641" t="s">
        <v>3512</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23" t="s">
        <v>1312</v>
      </c>
      <c r="B36" s="1651" t="s">
        <v>1313</v>
      </c>
      <c r="C36" s="137"/>
      <c r="D36" s="1652"/>
      <c r="E36" s="1566"/>
      <c r="F36" s="1653"/>
      <c r="G36" s="121"/>
      <c r="H36" s="121"/>
      <c r="I36" s="121"/>
    </row>
    <row r="37" spans="1:15" ht="15" thickBot="1">
      <c r="A37" s="3324"/>
      <c r="B37" s="1554" t="s">
        <v>1314</v>
      </c>
      <c r="C37" s="139"/>
      <c r="D37" s="1071"/>
      <c r="E37" s="1071"/>
      <c r="F37" s="1653"/>
      <c r="G37" s="121"/>
      <c r="H37" s="121"/>
      <c r="I37" s="121"/>
    </row>
    <row r="38" spans="1:15" ht="15" thickBot="1">
      <c r="A38" s="3325"/>
      <c r="B38" s="1654" t="s">
        <v>1315</v>
      </c>
      <c r="C38" s="641"/>
      <c r="D38" s="1655" t="s">
        <v>1316</v>
      </c>
      <c r="E38" s="1071"/>
      <c r="F38" s="1653"/>
      <c r="G38" s="121"/>
      <c r="H38" s="121"/>
      <c r="I38" s="121"/>
    </row>
    <row r="39" spans="1:15" ht="14.4">
      <c r="A39" s="1632" t="s">
        <v>1317</v>
      </c>
      <c r="B39" s="1656" t="s">
        <v>1301</v>
      </c>
      <c r="C39" s="1657" t="s">
        <v>1302</v>
      </c>
      <c r="D39" s="1657" t="s">
        <v>1320</v>
      </c>
      <c r="E39" s="1658" t="s">
        <v>1303</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3" t="s">
        <v>1326</v>
      </c>
      <c r="B45" s="3344"/>
      <c r="C45" s="3345"/>
      <c r="D45" s="3159">
        <f ca="1">典型户型修正!S27</f>
        <v>400</v>
      </c>
      <c r="E45" s="148" t="s">
        <v>1327</v>
      </c>
      <c r="F45" s="149">
        <v>1</v>
      </c>
      <c r="G45" s="150" t="s">
        <v>1328</v>
      </c>
      <c r="H45" s="121"/>
      <c r="I45" s="121"/>
      <c r="J45" s="3262" t="s">
        <v>1329</v>
      </c>
      <c r="K45" s="3262"/>
      <c r="L45" s="3262"/>
      <c r="M45" s="3262"/>
      <c r="N45" s="3262"/>
      <c r="O45" s="3262"/>
    </row>
    <row r="46" spans="1:15" ht="14.25" customHeight="1">
      <c r="A46" s="3340" t="s">
        <v>1330</v>
      </c>
      <c r="B46" s="3341"/>
      <c r="C46" s="3341"/>
      <c r="D46" s="3341"/>
      <c r="E46" s="3341"/>
      <c r="F46" s="3341"/>
      <c r="G46" s="3342"/>
      <c r="H46" s="1667"/>
      <c r="I46" s="151"/>
      <c r="J46" s="2309">
        <v>1</v>
      </c>
      <c r="K46" s="3263" t="s">
        <v>1331</v>
      </c>
      <c r="L46" s="3263"/>
      <c r="M46" s="3264"/>
      <c r="N46" s="3264"/>
      <c r="O46" s="3264"/>
    </row>
    <row r="47" spans="1:15" ht="12" customHeight="1">
      <c r="A47" s="152" t="s">
        <v>1332</v>
      </c>
      <c r="B47" s="153"/>
      <c r="C47" s="154"/>
      <c r="D47" s="1024" t="s">
        <v>1333</v>
      </c>
      <c r="E47" s="294" t="s">
        <v>1334</v>
      </c>
      <c r="F47" s="155" t="s">
        <v>1335</v>
      </c>
      <c r="G47" s="2331" t="s">
        <v>1336</v>
      </c>
      <c r="H47" s="2332"/>
      <c r="I47" s="151"/>
      <c r="J47" s="2309">
        <v>2</v>
      </c>
      <c r="K47" s="3263" t="s">
        <v>1337</v>
      </c>
      <c r="L47" s="3263"/>
      <c r="M47" s="3265">
        <f>'数据-取费表'!B2</f>
        <v>45649</v>
      </c>
      <c r="N47" s="3265"/>
      <c r="O47" s="3265"/>
    </row>
    <row r="48" spans="1:15" ht="39.6">
      <c r="A48" s="3326" t="s">
        <v>1338</v>
      </c>
      <c r="B48" s="3327"/>
      <c r="C48" s="3327"/>
      <c r="D48" s="12">
        <f ca="1">IF(H48="情况1",0,IF(H48="情况2",D52,IF(H48="情况3",D53,IF(H48="情况4",D54))))</f>
        <v>0</v>
      </c>
      <c r="E48" s="1255" t="str">
        <f>IF(H48="情况4","(销售额-原购置价)×税（费）率","销售额×税（费）率")</f>
        <v>(销售额-原购置价)×税（费）率</v>
      </c>
      <c r="F48" s="2333">
        <f>IF(H48="情况1","免征",'数据-取费表'!B41)</f>
        <v>5.6000000000000001E-2</v>
      </c>
      <c r="G48" s="2334" t="s">
        <v>1339</v>
      </c>
      <c r="H48" s="2335" t="s">
        <v>3523</v>
      </c>
      <c r="I48" s="1667"/>
      <c r="J48" s="2309">
        <v>3</v>
      </c>
      <c r="K48" s="3263" t="s">
        <v>1340</v>
      </c>
      <c r="L48" s="3263"/>
      <c r="M48" s="3266">
        <f ca="1">D45</f>
        <v>400</v>
      </c>
      <c r="N48" s="3266"/>
      <c r="O48" s="3266"/>
    </row>
    <row r="49" spans="1:35" ht="25.5" customHeight="1">
      <c r="A49" s="2151" t="s">
        <v>1341</v>
      </c>
      <c r="B49" s="3312" t="s">
        <v>1342</v>
      </c>
      <c r="C49" s="3312"/>
      <c r="D49" s="1477">
        <v>0</v>
      </c>
      <c r="E49" s="316" t="s">
        <v>1343</v>
      </c>
      <c r="F49" s="2232" t="s">
        <v>28</v>
      </c>
      <c r="G49" s="3295"/>
      <c r="H49" s="2133" t="s">
        <v>2131</v>
      </c>
      <c r="I49" s="2134"/>
      <c r="J49" s="2309">
        <v>4</v>
      </c>
      <c r="K49" s="3263" t="str">
        <f>IF(项目基本情况!E8="房地产抵押价值","房地产抵押价值","抵押担保权已注销时的房地产抵押价值")</f>
        <v>房地产抵押价值</v>
      </c>
      <c r="L49" s="3263"/>
      <c r="M49" s="3267">
        <f ca="1">D45</f>
        <v>400</v>
      </c>
      <c r="N49" s="3267"/>
      <c r="O49" s="3267"/>
    </row>
    <row r="50" spans="1:35" ht="25.5" customHeight="1">
      <c r="A50" s="2336"/>
      <c r="B50" s="3312" t="s">
        <v>1344</v>
      </c>
      <c r="C50" s="3312"/>
      <c r="D50" s="2188"/>
      <c r="E50" s="323"/>
      <c r="F50" s="2232"/>
      <c r="G50" s="3296"/>
      <c r="H50" s="2135" t="s">
        <v>2132</v>
      </c>
      <c r="I50" s="2134"/>
      <c r="J50" s="3262" t="s">
        <v>1345</v>
      </c>
      <c r="K50" s="3262"/>
      <c r="L50" s="3262"/>
      <c r="M50" s="3262"/>
      <c r="N50" s="3262"/>
      <c r="O50" s="3262"/>
    </row>
    <row r="51" spans="1:35" ht="20.399999999999999" customHeight="1">
      <c r="A51" s="2337"/>
      <c r="B51" s="3312" t="s">
        <v>1346</v>
      </c>
      <c r="C51" s="3312"/>
      <c r="D51" s="1024"/>
      <c r="E51" s="319"/>
      <c r="F51" s="2232"/>
      <c r="G51" s="3297"/>
      <c r="H51" s="2135" t="s">
        <v>2133</v>
      </c>
      <c r="I51" s="2134"/>
      <c r="J51" s="2310" t="s">
        <v>1347</v>
      </c>
      <c r="K51" s="3263" t="s">
        <v>1348</v>
      </c>
      <c r="L51" s="3263"/>
      <c r="M51" s="2310" t="s">
        <v>1349</v>
      </c>
      <c r="N51" s="2310" t="s">
        <v>1350</v>
      </c>
      <c r="O51" s="2310" t="s">
        <v>1351</v>
      </c>
    </row>
    <row r="52" spans="1:35" ht="24" customHeight="1">
      <c r="A52" s="2152" t="s">
        <v>1352</v>
      </c>
      <c r="B52" s="3312" t="s">
        <v>1353</v>
      </c>
      <c r="C52" s="3312"/>
      <c r="D52" s="1024">
        <f ca="1">ROUND(D45*'数据-取费表'!B41/(1+'数据-取费表'!C42),0)</f>
        <v>21</v>
      </c>
      <c r="E52" s="1255" t="s">
        <v>1354</v>
      </c>
      <c r="F52" s="2338">
        <f>'数据-取费表'!B41</f>
        <v>5.6000000000000001E-2</v>
      </c>
      <c r="G52" s="2339"/>
      <c r="H52" s="2329"/>
      <c r="I52" s="1668"/>
      <c r="J52" s="2309">
        <v>1</v>
      </c>
      <c r="K52" s="3289" t="s">
        <v>1355</v>
      </c>
      <c r="L52" s="3289"/>
      <c r="M52" s="2311">
        <f ca="1">D48</f>
        <v>0</v>
      </c>
      <c r="N52" s="2309" t="str">
        <f>E48</f>
        <v>(销售额-原购置价)×税（费）率</v>
      </c>
      <c r="O52" s="2312">
        <f>F48</f>
        <v>5.6000000000000001E-2</v>
      </c>
    </row>
    <row r="53" spans="1:35" ht="12" customHeight="1">
      <c r="A53" s="2152" t="s">
        <v>1356</v>
      </c>
      <c r="B53" s="3313" t="s">
        <v>2288</v>
      </c>
      <c r="C53" s="3314"/>
      <c r="D53" s="1024">
        <f ca="1">ROUND(D45*'数据-取费表'!B41/(1+'数据-取费表'!C42),0)</f>
        <v>21</v>
      </c>
      <c r="E53" s="1255" t="s">
        <v>1354</v>
      </c>
      <c r="F53" s="2338">
        <f>'数据-取费表'!B41</f>
        <v>5.6000000000000001E-2</v>
      </c>
      <c r="G53" s="2339"/>
      <c r="H53" s="2329"/>
      <c r="I53" s="1668"/>
      <c r="J53" s="2309">
        <v>2</v>
      </c>
      <c r="K53" s="3289" t="s">
        <v>1357</v>
      </c>
      <c r="L53" s="3289"/>
      <c r="M53" s="2311">
        <f t="shared" ref="M53:O54" ca="1" si="0">D55</f>
        <v>0.2</v>
      </c>
      <c r="N53" s="2309" t="str">
        <f t="shared" si="0"/>
        <v>销售额×税（费）率</v>
      </c>
      <c r="O53" s="2312">
        <f t="shared" si="0"/>
        <v>5.0000000000000001E-4</v>
      </c>
    </row>
    <row r="54" spans="1:35" ht="12" customHeight="1">
      <c r="A54" s="2152" t="s">
        <v>1358</v>
      </c>
      <c r="B54" s="3313" t="s">
        <v>2289</v>
      </c>
      <c r="C54" s="3314"/>
      <c r="D54" s="1024">
        <f ca="1">C68</f>
        <v>0</v>
      </c>
      <c r="E54" s="319" t="s">
        <v>1359</v>
      </c>
      <c r="F54" s="2338">
        <f>'数据-取费表'!B41</f>
        <v>5.6000000000000001E-2</v>
      </c>
      <c r="G54" s="2339"/>
      <c r="H54" s="2340"/>
      <c r="I54" s="1668"/>
      <c r="J54" s="2309">
        <v>3</v>
      </c>
      <c r="K54" s="3289" t="s">
        <v>1360</v>
      </c>
      <c r="L54" s="3289"/>
      <c r="M54" s="2311">
        <f t="shared" ca="1" si="0"/>
        <v>0</v>
      </c>
      <c r="N54" s="2309" t="str">
        <f t="shared" si="0"/>
        <v>增值额×税（费）率</v>
      </c>
      <c r="O54" s="2313" t="str">
        <f t="shared" si="0"/>
        <v>——</v>
      </c>
    </row>
    <row r="55" spans="1:35" ht="24" customHeight="1">
      <c r="A55" s="3349" t="s">
        <v>1361</v>
      </c>
      <c r="B55" s="3327"/>
      <c r="C55" s="3327"/>
      <c r="D55" s="12">
        <f ca="1">IF(H55="个人住宅",0,ROUND(D45*I55,2))</f>
        <v>0.2</v>
      </c>
      <c r="E55" s="1255" t="s">
        <v>1362</v>
      </c>
      <c r="F55" s="2338">
        <f>IF(H55="正常",I55,"免征")</f>
        <v>5.0000000000000001E-4</v>
      </c>
      <c r="G55" s="2339"/>
      <c r="H55" s="2335" t="s">
        <v>3450</v>
      </c>
      <c r="I55" s="157">
        <f>'数据-取费表'!B49</f>
        <v>5.0000000000000001E-4</v>
      </c>
      <c r="J55" s="2309" t="str">
        <f>IF(H59="非个人房产","",4)</f>
        <v/>
      </c>
      <c r="K55" s="3289" t="str">
        <f>IF(H59="非个人房产","——","个人所得税")</f>
        <v>——</v>
      </c>
      <c r="L55" s="3289"/>
      <c r="M55" s="2314" t="str">
        <f>D59</f>
        <v>——</v>
      </c>
      <c r="N55" s="1882" t="str">
        <f>E59</f>
        <v>——</v>
      </c>
      <c r="O55" s="2315" t="str">
        <f>F59</f>
        <v>——</v>
      </c>
    </row>
    <row r="56" spans="1:35" ht="25.2">
      <c r="A56" s="3349" t="s">
        <v>1363</v>
      </c>
      <c r="B56" s="3327"/>
      <c r="C56" s="3327"/>
      <c r="D56" s="12">
        <f ca="1">IF(H56="个人住宅",D57,D58)</f>
        <v>0</v>
      </c>
      <c r="E56" s="1255" t="s">
        <v>1364</v>
      </c>
      <c r="F56" s="2338" t="str">
        <f>IF(H56="正常",F58,"免征")</f>
        <v>——</v>
      </c>
      <c r="G56" s="2341" t="s">
        <v>1365</v>
      </c>
      <c r="H56" s="2342" t="s">
        <v>3450</v>
      </c>
      <c r="I56" s="1669"/>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3.2">
      <c r="A57" s="2152" t="s">
        <v>1341</v>
      </c>
      <c r="B57" s="3313" t="s">
        <v>1366</v>
      </c>
      <c r="C57" s="3314"/>
      <c r="D57" s="1477">
        <v>0</v>
      </c>
      <c r="E57" s="316" t="s">
        <v>1343</v>
      </c>
      <c r="F57" s="294"/>
      <c r="G57" s="2339"/>
      <c r="H57" s="2343"/>
      <c r="I57" s="1669"/>
      <c r="J57" s="3289">
        <f>IF(AND(J55="",J56=""),4,IF(项目基本情况!K6="上海银行",结果表2006!J56+1,结果表2006!J55+1))</f>
        <v>4</v>
      </c>
      <c r="K57" s="3289" t="s">
        <v>1367</v>
      </c>
      <c r="L57" s="2316" t="s">
        <v>1368</v>
      </c>
      <c r="M57" s="2317"/>
      <c r="N57" s="2318">
        <f ca="1">SUMIF(M52:M56,"&lt;9e307")</f>
        <v>0.2</v>
      </c>
      <c r="O57" s="2319"/>
      <c r="P57" s="2462">
        <f ca="1">N57/M49</f>
        <v>5.0000000000000001E-4</v>
      </c>
    </row>
    <row r="58" spans="1:35" ht="25.2">
      <c r="A58" s="2152" t="s">
        <v>1352</v>
      </c>
      <c r="B58" s="3313" t="s">
        <v>1369</v>
      </c>
      <c r="C58" s="3312"/>
      <c r="D58" s="12">
        <f ca="1">IF(H58="转让取得",C81,C97)</f>
        <v>0</v>
      </c>
      <c r="E58" s="1255" t="s">
        <v>1364</v>
      </c>
      <c r="F58" s="294" t="s">
        <v>28</v>
      </c>
      <c r="G58" s="2339"/>
      <c r="H58" s="2342" t="s">
        <v>3524</v>
      </c>
      <c r="I58" s="1669"/>
      <c r="J58" s="3289"/>
      <c r="K58" s="3289"/>
      <c r="L58" s="2316" t="s">
        <v>1370</v>
      </c>
      <c r="M58" s="2320"/>
      <c r="N58" s="2321" t="str">
        <f ca="1">NUMBERSTRING(INT(N57*10000),2)&amp;"元整"</f>
        <v>贰仟元整</v>
      </c>
      <c r="O58" s="2322"/>
    </row>
    <row r="59" spans="1:35" ht="24.6" thickBot="1">
      <c r="A59" s="3293" t="s">
        <v>1371</v>
      </c>
      <c r="B59" s="3294"/>
      <c r="C59" s="329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3525</v>
      </c>
      <c r="I59" s="2136" t="s">
        <v>2134</v>
      </c>
      <c r="J59" s="3291">
        <f>J57+1</f>
        <v>5</v>
      </c>
      <c r="K59" s="3289" t="s">
        <v>1372</v>
      </c>
      <c r="L59" s="2309" t="s">
        <v>1368</v>
      </c>
      <c r="M59" s="2323"/>
      <c r="N59" s="2324">
        <f ca="1">M49-N57</f>
        <v>399.8</v>
      </c>
      <c r="O59" s="2325"/>
    </row>
    <row r="60" spans="1:35" ht="12" customHeight="1">
      <c r="A60" s="1670"/>
      <c r="B60" s="646"/>
      <c r="C60" s="646"/>
      <c r="D60" s="646"/>
      <c r="E60" s="1465"/>
      <c r="F60" s="1669"/>
      <c r="G60" s="1669"/>
      <c r="H60" s="151"/>
      <c r="I60" s="121"/>
      <c r="J60" s="3292"/>
      <c r="K60" s="3289"/>
      <c r="L60" s="2316" t="s">
        <v>1370</v>
      </c>
      <c r="M60" s="2320"/>
      <c r="N60" s="2321" t="str">
        <f ca="1">NUMBERSTRING(INT(N59*10000),2)&amp;"元整"</f>
        <v>叁佰玖拾玖万捌仟元整</v>
      </c>
      <c r="O60" s="2322"/>
    </row>
    <row r="61" spans="1:35" ht="13.8" thickBot="1">
      <c r="A61" s="3348" t="s">
        <v>1373</v>
      </c>
      <c r="B61" s="3348"/>
      <c r="C61" s="3348"/>
      <c r="D61" s="3348"/>
      <c r="E61" s="3348"/>
      <c r="F61" s="1669"/>
      <c r="G61" s="1669"/>
      <c r="H61" s="151"/>
      <c r="I61" s="121"/>
      <c r="J61" s="2309">
        <f>J59+1</f>
        <v>6</v>
      </c>
      <c r="K61" s="3289" t="s">
        <v>1374</v>
      </c>
      <c r="L61" s="3289"/>
      <c r="M61" s="2326"/>
      <c r="N61" s="3165">
        <f ca="1">ROUND(N59*10000/面积清单!H9,0)</f>
        <v>4476</v>
      </c>
      <c r="O61" s="2327"/>
    </row>
    <row r="62" spans="1:35" ht="13.2">
      <c r="A62" s="3308" t="s">
        <v>1375</v>
      </c>
      <c r="B62" s="3309"/>
      <c r="C62" s="1864"/>
      <c r="D62" s="1864" t="s">
        <v>1376</v>
      </c>
      <c r="E62" s="158" t="s">
        <v>1377</v>
      </c>
      <c r="F62" s="1669"/>
      <c r="G62" s="1669"/>
      <c r="H62" s="151"/>
      <c r="I62" s="121"/>
    </row>
    <row r="63" spans="1:35" ht="13.2">
      <c r="A63" s="165" t="s">
        <v>330</v>
      </c>
      <c r="B63" s="159" t="s">
        <v>1378</v>
      </c>
      <c r="C63" s="2348">
        <f ca="1">ROUND((C64+C65)/(1+'数据-取费表'!C42),0)</f>
        <v>381</v>
      </c>
      <c r="D63" s="159"/>
      <c r="E63" s="160"/>
      <c r="F63" s="1669"/>
      <c r="G63" s="1669"/>
      <c r="H63" s="151"/>
      <c r="I63" s="121"/>
      <c r="J63" s="3272" t="s">
        <v>1379</v>
      </c>
      <c r="K63" s="1245" t="s">
        <v>1380</v>
      </c>
      <c r="L63" s="1245">
        <f ca="1">IF(M49&gt;10000,M49*0.5%,IF(AND(M49&gt;1000,M49&lt;=10000),M49*1%,IF(AND(M49&gt;100,M49&lt;=1000),M49*3%,IF(AND(M49&gt;10,M49&lt;=100),M49*5%,M49*8%))))</f>
        <v>12</v>
      </c>
      <c r="M63" s="294">
        <f ca="1">ROUND(L63,1)</f>
        <v>12</v>
      </c>
      <c r="N63" s="2328"/>
      <c r="Z63" s="1622"/>
      <c r="AI63" s="1560"/>
    </row>
    <row r="64" spans="1:35" ht="14.25" customHeight="1">
      <c r="A64" s="161" t="s">
        <v>325</v>
      </c>
      <c r="B64" s="162" t="s">
        <v>1381</v>
      </c>
      <c r="C64" s="2349">
        <f ca="1">D45</f>
        <v>400</v>
      </c>
      <c r="D64" s="162" t="s">
        <v>26</v>
      </c>
      <c r="E64" s="164"/>
      <c r="F64" s="1669"/>
      <c r="G64" s="1669"/>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3.2</v>
      </c>
      <c r="M64" s="294">
        <f t="shared" ref="M64:M65" ca="1" si="1">ROUND(L64,1)</f>
        <v>3.2</v>
      </c>
      <c r="N64" s="2329" t="s">
        <v>1383</v>
      </c>
      <c r="Z64" s="1622"/>
      <c r="AI64" s="1560"/>
    </row>
    <row r="65" spans="1:35" ht="14.25" customHeight="1">
      <c r="A65" s="161" t="s">
        <v>326</v>
      </c>
      <c r="B65" s="162" t="s">
        <v>1384</v>
      </c>
      <c r="C65" s="2350"/>
      <c r="D65" s="162"/>
      <c r="E65" s="164"/>
      <c r="F65" s="1669"/>
      <c r="G65" s="1669"/>
      <c r="H65" s="151"/>
      <c r="I65" s="121"/>
      <c r="J65" s="3272"/>
      <c r="K65" s="1245" t="s">
        <v>1385</v>
      </c>
      <c r="L65" s="1245">
        <f ca="1">IF(M49&gt;1000,M49*0.1%,IF(AND(M49&gt;500,M49&lt;=1000),M49*0.5%,IF(AND(M49&gt;50,M49&lt;=500),M49*1%,IF(AND(M49&gt;1,M49&lt;=50),M49*1.5%))))</f>
        <v>4</v>
      </c>
      <c r="M65" s="294">
        <f t="shared" ca="1" si="1"/>
        <v>4</v>
      </c>
      <c r="N65" s="2329" t="s">
        <v>1383</v>
      </c>
      <c r="Z65" s="1622"/>
      <c r="AI65" s="1560"/>
    </row>
    <row r="66" spans="1:35" ht="14.25" customHeight="1">
      <c r="A66" s="165" t="s">
        <v>327</v>
      </c>
      <c r="B66" s="166" t="s">
        <v>1386</v>
      </c>
      <c r="C66" s="2351">
        <f>ROUND(面积清单!L9/1.05/10000,0)</f>
        <v>3481</v>
      </c>
      <c r="D66" s="166" t="s">
        <v>26</v>
      </c>
      <c r="E66" s="1250" t="s">
        <v>671</v>
      </c>
      <c r="F66" s="1669"/>
      <c r="G66" s="1669"/>
      <c r="H66" s="151"/>
      <c r="I66" s="121"/>
      <c r="J66" s="3272"/>
      <c r="K66" s="1245" t="s">
        <v>1387</v>
      </c>
      <c r="L66" s="1245">
        <f ca="1">M49*0.5%</f>
        <v>2</v>
      </c>
      <c r="M66" s="294">
        <f ca="1">IF(L66&gt;0.5,0.5,ROUND(L66,0))</f>
        <v>0.5</v>
      </c>
      <c r="N66" s="2329" t="s">
        <v>1388</v>
      </c>
      <c r="Z66" s="1622"/>
      <c r="AI66" s="1560"/>
    </row>
    <row r="67" spans="1:35" ht="14.25" customHeight="1">
      <c r="A67" s="165" t="s">
        <v>328</v>
      </c>
      <c r="B67" s="166" t="s">
        <v>1389</v>
      </c>
      <c r="C67" s="2352">
        <f ca="1">C63-C66</f>
        <v>-3100</v>
      </c>
      <c r="D67" s="162" t="s">
        <v>26</v>
      </c>
      <c r="E67" s="164"/>
      <c r="F67" s="1669"/>
      <c r="G67" s="1669"/>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1.25</v>
      </c>
      <c r="M67" s="294">
        <f ca="1">ROUND(L67*0.9,1)</f>
        <v>1.1000000000000001</v>
      </c>
      <c r="N67" s="2328"/>
      <c r="Z67" s="1622"/>
      <c r="AI67" s="1560"/>
    </row>
    <row r="68" spans="1:35" ht="14.25" customHeight="1" thickBot="1">
      <c r="A68" s="168" t="s">
        <v>329</v>
      </c>
      <c r="B68" s="169" t="s">
        <v>1391</v>
      </c>
      <c r="C68" s="2353">
        <f ca="1">IF(C67&lt;=0,0,ROUND(C67*D68,0))</f>
        <v>0</v>
      </c>
      <c r="D68" s="2354">
        <f>'数据-取费表'!B41</f>
        <v>5.6000000000000001E-2</v>
      </c>
      <c r="E68" s="170"/>
      <c r="F68" s="1669"/>
      <c r="G68" s="1669"/>
      <c r="H68" s="151"/>
      <c r="I68" s="121"/>
      <c r="J68" s="3272"/>
      <c r="K68" s="1245" t="s">
        <v>1392</v>
      </c>
      <c r="L68" s="1245">
        <f ca="1">IF(M49&gt;10000,M49*0.5%,IF(AND(M49&gt;5000,M49&lt;=10000),M49*1%,IF(AND(M49&gt;1000,M49&lt;=5000),M49*2%,IF(AND(M49&gt;200,M49&lt;=1000),M49*3%,M49*5%))))</f>
        <v>12</v>
      </c>
      <c r="M68" s="294">
        <f ca="1">ROUND(L68,1)</f>
        <v>12</v>
      </c>
      <c r="N68" s="2328"/>
      <c r="Z68" s="1622"/>
      <c r="AI68" s="1560"/>
    </row>
    <row r="69" spans="1:35" ht="16.5" customHeight="1">
      <c r="A69" s="1671"/>
      <c r="B69" s="1672"/>
      <c r="C69" s="1673"/>
      <c r="D69" s="1674"/>
      <c r="E69" s="1675"/>
      <c r="F69" s="1465"/>
      <c r="G69" s="1465"/>
      <c r="H69" s="1466"/>
      <c r="I69" s="646"/>
      <c r="J69" s="3272"/>
      <c r="K69" s="1245" t="s">
        <v>1393</v>
      </c>
      <c r="L69" s="1245"/>
      <c r="M69" s="294">
        <f ca="1">ROUND(SUM(M63:M68),0)</f>
        <v>33</v>
      </c>
      <c r="N69" s="2330">
        <f ca="1">M69/M49</f>
        <v>8.2500000000000004E-2</v>
      </c>
      <c r="Z69" s="1622"/>
      <c r="AI69" s="1560"/>
    </row>
    <row r="70" spans="1:35" s="642" customFormat="1" ht="14.4" thickBot="1">
      <c r="A70" s="3316" t="s">
        <v>1394</v>
      </c>
      <c r="B70" s="3317"/>
      <c r="C70" s="3317"/>
      <c r="D70" s="3317"/>
      <c r="E70" s="3317"/>
      <c r="F70" s="3317"/>
      <c r="G70" s="3317"/>
      <c r="H70" s="331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08" t="s">
        <v>1375</v>
      </c>
      <c r="B71" s="330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2">
        <f ca="1">ROUND(D45/(1+'数据-取费表'!C42),0)</f>
        <v>381</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2">
        <f ca="1">C74+C78</f>
        <v>850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848</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3168">
        <f>面积清单!L7/10000</f>
        <v>661.95330000000001</v>
      </c>
      <c r="D75" s="162" t="s">
        <v>26</v>
      </c>
      <c r="E75" s="176" t="s">
        <v>1399</v>
      </c>
      <c r="F75" s="2356" t="s">
        <v>3526</v>
      </c>
      <c r="G75" s="176" t="s">
        <v>1400</v>
      </c>
      <c r="H75" s="2357">
        <f>2024-2018</f>
        <v>6</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199</v>
      </c>
      <c r="D76" s="2358">
        <v>0.05</v>
      </c>
      <c r="E76" s="3313" t="s">
        <v>1402</v>
      </c>
      <c r="F76" s="3312"/>
      <c r="G76" s="3312"/>
      <c r="H76" s="331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19</v>
      </c>
      <c r="D77" s="2359">
        <f>'数据-取费表'!B48+'数据-取费表'!B49</f>
        <v>3.0499999999999999E-2</v>
      </c>
      <c r="E77" s="12" t="s">
        <v>1404</v>
      </c>
      <c r="F77" s="178"/>
      <c r="G77" s="1681" t="s">
        <v>3532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2</v>
      </c>
      <c r="D78" s="2361">
        <f>'数据-取费表'!B43</f>
        <v>6.000000000000001E-3</v>
      </c>
      <c r="E78" s="3305" t="s">
        <v>1406</v>
      </c>
      <c r="F78" s="3306"/>
      <c r="G78" s="3306"/>
      <c r="H78" s="33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328</v>
      </c>
      <c r="B79" s="166" t="s">
        <v>1407</v>
      </c>
      <c r="C79" s="2352">
        <f ca="1">C72-C73</f>
        <v>-469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6" t="s">
        <v>1410</v>
      </c>
      <c r="B83" s="3317"/>
      <c r="C83" s="3317"/>
      <c r="D83" s="3317"/>
      <c r="E83" s="3317"/>
      <c r="F83" s="3317"/>
      <c r="G83" s="3317"/>
      <c r="H83" s="331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08" t="s">
        <v>1375</v>
      </c>
      <c r="B84" s="330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2">
        <f ca="1">ROUND(D45/(1+'数据-取费表'!C42),0)</f>
        <v>381</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2">
        <f ca="1">IF(H88="仅含出让金",C87+C90+C91+C92+C93+C94,C87+C91+C92+C93+C94)</f>
        <v>2</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6"/>
      <c r="D88" s="2361"/>
      <c r="E88" s="185" t="s">
        <v>1413</v>
      </c>
      <c r="F88" s="2147"/>
      <c r="G88" s="186" t="s">
        <v>1414</v>
      </c>
      <c r="H88" s="1683"/>
      <c r="I88" s="1680"/>
      <c r="J88" s="2307"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6"/>
      <c r="D90" s="2361"/>
      <c r="E90" s="185" t="str">
        <f>IF(H88="-","土地取得成本中已包含该笔费用"," ")</f>
        <v xml:space="preserve"> </v>
      </c>
      <c r="F90" s="2147"/>
      <c r="G90" s="3274" t="s">
        <v>2126</v>
      </c>
      <c r="H90" s="3275"/>
      <c r="I90" s="1680"/>
      <c r="J90" s="2307"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305" t="s">
        <v>1419</v>
      </c>
      <c r="F91" s="3306"/>
      <c r="G91" s="330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05" t="s">
        <v>1422</v>
      </c>
      <c r="F92" s="3306"/>
      <c r="G92" s="3306"/>
      <c r="H92" s="3307"/>
      <c r="I92" s="1680"/>
      <c r="J92" s="2308"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2</v>
      </c>
      <c r="D93" s="2361">
        <f>'数据-取费表'!B43</f>
        <v>6.000000000000001E-3</v>
      </c>
      <c r="E93" s="3305" t="s">
        <v>1406</v>
      </c>
      <c r="F93" s="3306"/>
      <c r="G93" s="3306"/>
      <c r="H93" s="33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50" t="s">
        <v>1426</v>
      </c>
      <c r="F94" s="3351"/>
      <c r="G94" s="3351"/>
      <c r="H94" s="33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328</v>
      </c>
      <c r="B95" s="166" t="s">
        <v>1407</v>
      </c>
      <c r="C95" s="2352">
        <f ca="1">ROUND(C85-C86,0)</f>
        <v>379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f ca="1">IF(C95&lt;=0,0,C95/C86)</f>
        <v>189.5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3">
        <f ca="1">ROUND(IF(C95&lt;=0,0,IF(C96&gt;=200%,C95*60%-C86*35%,IF(C96&gt;=100%,C95*50%-C86*15%,IF(C96&gt;=50%,C95*40%-C86*5%,IF(C96&lt;50%,C95*30%,0))))),0)</f>
        <v>227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4" t="s">
        <v>1428</v>
      </c>
      <c r="B100" s="3255"/>
      <c r="C100" s="3255"/>
      <c r="D100" s="3290"/>
      <c r="E100" s="3255" t="s">
        <v>1429</v>
      </c>
      <c r="F100" s="3255"/>
      <c r="G100" s="3255"/>
      <c r="H100" s="3290"/>
      <c r="I100" s="121"/>
    </row>
    <row r="101" spans="1:35" ht="18.75" customHeight="1">
      <c r="A101" s="3298" t="s">
        <v>1430</v>
      </c>
      <c r="B101" s="3299"/>
      <c r="C101" s="2369" t="str">
        <f>C4</f>
        <v>比较法-办公</v>
      </c>
      <c r="D101" s="2370" t="str">
        <f>D4</f>
        <v>收益法 (元)</v>
      </c>
      <c r="E101" s="3268" t="s">
        <v>1431</v>
      </c>
      <c r="F101" s="3269"/>
      <c r="G101" s="1686" t="s">
        <v>1432</v>
      </c>
      <c r="H101" s="2379">
        <f ca="1">H118</f>
        <v>508</v>
      </c>
      <c r="I101" s="121"/>
    </row>
    <row r="102" spans="1:35" ht="18.75" customHeight="1">
      <c r="A102" s="3300" t="s">
        <v>1433</v>
      </c>
      <c r="B102" s="2368" t="s">
        <v>1432</v>
      </c>
      <c r="C102" s="2369">
        <f ca="1">IF(D32="楼面单价",ROUND(C19,0),C19)</f>
        <v>572</v>
      </c>
      <c r="D102" s="2370">
        <f ca="1">IF(D32="楼面单价",ROUND(D19,0),D19)</f>
        <v>357</v>
      </c>
      <c r="E102" s="3268"/>
      <c r="F102" s="3269"/>
      <c r="G102" s="1686" t="s">
        <v>1434</v>
      </c>
      <c r="H102" s="2339">
        <f ca="1">I118</f>
        <v>28279</v>
      </c>
      <c r="I102" s="121"/>
    </row>
    <row r="103" spans="1:35" ht="42.75" customHeight="1">
      <c r="A103" s="3300"/>
      <c r="B103" s="2368" t="s">
        <v>1434</v>
      </c>
      <c r="C103" s="2371">
        <f ca="1">C20</f>
        <v>31865</v>
      </c>
      <c r="D103" s="2372">
        <f ca="1">D20</f>
        <v>19912</v>
      </c>
      <c r="E103" s="3260" t="s">
        <v>1435</v>
      </c>
      <c r="F103" s="3261"/>
      <c r="G103" s="1687" t="s">
        <v>1436</v>
      </c>
      <c r="H103" s="2379">
        <f>IF(D36="正常操作",H104+H105+H106,H105+H106)</f>
        <v>0</v>
      </c>
      <c r="I103" s="121"/>
    </row>
    <row r="104" spans="1:35" ht="18.75" customHeight="1">
      <c r="A104" s="3300" t="s">
        <v>1437</v>
      </c>
      <c r="B104" s="2373" t="s">
        <v>1432</v>
      </c>
      <c r="C104" s="2374">
        <f ca="1">H118</f>
        <v>508</v>
      </c>
      <c r="D104" s="2375"/>
      <c r="E104" s="1554" t="s">
        <v>1438</v>
      </c>
      <c r="F104" s="1547"/>
      <c r="G104" s="1687" t="s">
        <v>1436</v>
      </c>
      <c r="H104" s="2380">
        <f>IF(D36="同一抵押权人同一抵押物续贷",C36&amp;"（续贷，未扣减，详见特别提示）",C36)</f>
        <v>0</v>
      </c>
      <c r="I104" s="121"/>
    </row>
    <row r="105" spans="1:35" ht="18.75" customHeight="1" thickBot="1">
      <c r="A105" s="3310"/>
      <c r="B105" s="2376" t="s">
        <v>1434</v>
      </c>
      <c r="C105" s="2377">
        <f ca="1">I118</f>
        <v>28279</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01" t="str">
        <f>IF(项目基本情况!E8="已注销","——","3.房地产抵押价值")</f>
        <v>3.房地产抵押价值</v>
      </c>
      <c r="F107" s="3269"/>
      <c r="G107" s="1686" t="s">
        <v>1432</v>
      </c>
      <c r="H107" s="2379">
        <f ca="1">IF(E107="——","——",H101-H103)</f>
        <v>508</v>
      </c>
      <c r="I107" s="121"/>
    </row>
    <row r="108" spans="1:35" ht="18.75" customHeight="1">
      <c r="A108" s="121"/>
      <c r="B108" s="121"/>
      <c r="C108" s="121"/>
      <c r="D108" s="121"/>
      <c r="E108" s="3301"/>
      <c r="F108" s="3269"/>
      <c r="G108" s="1686" t="s">
        <v>1434</v>
      </c>
      <c r="H108" s="2339">
        <f ca="1">IF(H107=H101,H102,ROUND(H107*10000/'数据-汇总表'!E3,0))</f>
        <v>28279</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6" t="s">
        <v>1432</v>
      </c>
      <c r="H109" s="2382" t="str">
        <f>IF(E109="——","——",H101-H105-H106)</f>
        <v>——</v>
      </c>
      <c r="I109" s="121"/>
    </row>
    <row r="110" spans="1:35" ht="18.75" customHeight="1">
      <c r="A110" s="121"/>
      <c r="B110" s="121"/>
      <c r="C110" s="121"/>
      <c r="D110" s="121"/>
      <c r="E110" s="3301"/>
      <c r="F110" s="3269"/>
      <c r="G110" s="1686" t="s">
        <v>1434</v>
      </c>
      <c r="H110" s="2339"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4.抵押净值</v>
      </c>
      <c r="F111" s="3288"/>
      <c r="G111" s="1686" t="s">
        <v>1432</v>
      </c>
      <c r="H111" s="2379">
        <f ca="1">IF(E111="——","——",N59)</f>
        <v>399.8</v>
      </c>
      <c r="I111" s="121"/>
    </row>
    <row r="112" spans="1:35" ht="18.75" customHeight="1" thickBot="1">
      <c r="A112" s="121"/>
      <c r="B112" s="121"/>
      <c r="C112" s="121"/>
      <c r="D112" s="121"/>
      <c r="E112" s="3303"/>
      <c r="F112" s="3304"/>
      <c r="G112" s="1689" t="s">
        <v>1434</v>
      </c>
      <c r="H112" s="2383">
        <f ca="1">IF(E111="——","——",N61)</f>
        <v>4476</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0"/>
      <c r="F114" s="1670"/>
      <c r="G114" s="1670"/>
      <c r="H114" s="1670"/>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49" t="s">
        <v>1449</v>
      </c>
      <c r="E117" s="2149" t="s">
        <v>1450</v>
      </c>
      <c r="F117" s="2149" t="s">
        <v>1449</v>
      </c>
      <c r="G117" s="2149" t="s">
        <v>1451</v>
      </c>
      <c r="H117" s="2149" t="s">
        <v>1449</v>
      </c>
      <c r="I117" s="2149" t="s">
        <v>1451</v>
      </c>
    </row>
    <row r="118" spans="1:27" ht="24.75" customHeight="1">
      <c r="A118" s="2384" t="str">
        <f>项目基本情况!S2</f>
        <v>北京市朝阳区东三环南路98号1幢房地产</v>
      </c>
      <c r="B118" s="2149">
        <f>M18</f>
        <v>179.5</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508</v>
      </c>
      <c r="I118" s="2149">
        <f ca="1">ROUND(IF(D32="楼面单价",C32,H118*10000/B118),0)</f>
        <v>28279</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伍佰零捌万元整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508</v>
      </c>
      <c r="E122" s="3278"/>
      <c r="F122" s="3278"/>
      <c r="G122" s="3278"/>
      <c r="H122" s="3278"/>
      <c r="I122" s="3279"/>
      <c r="AA122" s="684"/>
    </row>
    <row r="123" spans="1:27" ht="18.75" customHeight="1">
      <c r="A123" s="3276" t="s">
        <v>1452</v>
      </c>
      <c r="B123" s="3276"/>
      <c r="C123" s="3276"/>
      <c r="D123" s="3282" t="str">
        <f ca="1">NUMBERSTRING(INT(D122*10000),2)&amp;"元整"</f>
        <v>伍佰零捌万元整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抵押净值</v>
      </c>
      <c r="B126" s="3288"/>
      <c r="C126" s="3288"/>
      <c r="D126" s="3277">
        <f ca="1">H111</f>
        <v>399.8</v>
      </c>
      <c r="E126" s="3278"/>
      <c r="F126" s="3278"/>
      <c r="G126" s="3278"/>
      <c r="H126" s="3278"/>
      <c r="I126" s="3279"/>
      <c r="AA126" s="684"/>
    </row>
    <row r="127" spans="1:27" ht="18.75" customHeight="1">
      <c r="A127" s="3276" t="s">
        <v>1452</v>
      </c>
      <c r="B127" s="3276"/>
      <c r="C127" s="3276"/>
      <c r="D127" s="3282" t="str">
        <f ca="1">NUMBERSTRING(INT(D126*10000),2)&amp;"元整"</f>
        <v>叁佰玖拾玖万捌仟元整</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C5:D7">
    <cfRule type="cellIs" dxfId="162" priority="6" stopIfTrue="1" operator="equal">
      <formula>25</formula>
    </cfRule>
  </conditionalFormatting>
  <conditionalFormatting sqref="C8:D13">
    <cfRule type="cellIs" dxfId="161" priority="5" stopIfTrue="1" operator="equal">
      <formula>15</formula>
    </cfRule>
  </conditionalFormatting>
  <conditionalFormatting sqref="C14:D16">
    <cfRule type="cellIs" dxfId="160" priority="4" stopIfTrue="1" operator="equal">
      <formula>30</formula>
    </cfRule>
  </conditionalFormatting>
  <conditionalFormatting sqref="E36">
    <cfRule type="expression" dxfId="159" priority="1" stopIfTrue="1">
      <formula>$D$36="同一抵押权人同一抵押物续贷"</formula>
    </cfRule>
  </conditionalFormatting>
  <dataValidations count="23">
    <dataValidation type="list" allowBlank="1" showInputMessage="1" showErrorMessage="1" sqref="C4:D4 D33" xr:uid="{3C7AC934-3CC0-466C-8C28-DE5EA4522AD8}">
      <formula1>估价方法</formula1>
    </dataValidation>
    <dataValidation type="list" allowBlank="1" showInputMessage="1" showErrorMessage="1" sqref="H55:H56" xr:uid="{AFFC74E6-E40E-4287-9592-3ED537F96B23}">
      <formula1>"个人住宅,正常"</formula1>
    </dataValidation>
    <dataValidation type="list" allowBlank="1" showInputMessage="1" showErrorMessage="1" sqref="H48" xr:uid="{74D861D2-E953-422F-8F78-BBE69EF9B005}">
      <formula1>"情况1,情况2,情况3,情况4"</formula1>
    </dataValidation>
    <dataValidation type="list" allowBlank="1" showInputMessage="1" showErrorMessage="1" sqref="H58" xr:uid="{A0D4518E-51B2-4A89-809E-BE2E749D99D5}">
      <formula1>"转让取得,自行开发建设"</formula1>
    </dataValidation>
    <dataValidation type="list" allowBlank="1" showInputMessage="1" showErrorMessage="1" sqref="D32" xr:uid="{104073B3-7E03-4E9E-B7D9-1D7462F6F02E}">
      <formula1>"总价,楼面单价"</formula1>
    </dataValidation>
    <dataValidation type="list" allowBlank="1" showInputMessage="1" showErrorMessage="1" sqref="F45" xr:uid="{7B3BD0BA-3EAA-423E-8D56-9BFE7DCAF4A4}">
      <formula1>"100%,70%,56%"</formula1>
    </dataValidation>
    <dataValidation type="list" allowBlank="1" showInputMessage="1" showErrorMessage="1" sqref="C33" xr:uid="{9A9F13FA-4A69-476E-8CF4-D85C8B8C850D}">
      <formula1>"成本比率,收益比率,自定义"</formula1>
    </dataValidation>
    <dataValidation type="list" allowBlank="1" showInputMessage="1" showErrorMessage="1" sqref="H91" xr:uid="{D341C346-12FA-40E5-A8DF-AE44B18BACFC}">
      <formula1>"企业提供（在右侧录入）,——"</formula1>
    </dataValidation>
    <dataValidation type="list" allowBlank="1" showInputMessage="1" showErrorMessage="1" sqref="H88" xr:uid="{B26FF043-1003-4312-AC7B-4CD1585D4425}">
      <formula1>"仅含出让金,出让金+开发费"</formula1>
    </dataValidation>
    <dataValidation type="list" allowBlank="1" showInputMessage="1" showErrorMessage="1" sqref="F75" xr:uid="{C79F15C4-CFF9-4B46-B512-0CF6C4017762}">
      <formula1>"买卖合同,购房发票"</formula1>
    </dataValidation>
    <dataValidation type="list" allowBlank="1" showInputMessage="1" showErrorMessage="1" sqref="D36" xr:uid="{A96A75E5-45EE-4B06-BC1A-1C565D42204C}">
      <formula1>"同一抵押权人同一抵押物续贷,注销后放款,正常操作"</formula1>
    </dataValidation>
    <dataValidation type="list" allowBlank="1" showInputMessage="1" showErrorMessage="1" sqref="B116:B117" xr:uid="{BAD6161A-DE15-4C29-ACBD-E47B50176C0D}">
      <formula1>"建筑面积,规划建筑面积,（规划）建筑面积"</formula1>
    </dataValidation>
    <dataValidation type="list" allowBlank="1" showInputMessage="1" showErrorMessage="1" sqref="C116:C117" xr:uid="{AE52F0F8-0F77-4FF3-B97B-8213B0148CAB}">
      <formula1>"土地面积,分摊土地面积,（分摊）土地面积"</formula1>
    </dataValidation>
    <dataValidation type="list" allowBlank="1" showInputMessage="1" showErrorMessage="1" sqref="D116:E116" xr:uid="{50D894E7-41BF-433D-8611-49BDF5757469}">
      <formula1>"出让国有建设用地使用权价值,划拨国有建设用地使用权价值"</formula1>
    </dataValidation>
    <dataValidation type="list" allowBlank="1" showInputMessage="1" showErrorMessage="1" sqref="F116:G116" xr:uid="{FA317720-9AE2-41F7-9DF7-A64D1749230E}">
      <formula1>"建筑物价值,在建建筑物价值,建筑物/在建建筑物价值"</formula1>
    </dataValidation>
    <dataValidation type="list" allowBlank="1" showInputMessage="1" showErrorMessage="1" sqref="C129" xr:uid="{7C95F3A0-7406-4EB1-BA31-ACA5FAA33163}">
      <formula1>"无,有"</formula1>
    </dataValidation>
    <dataValidation type="list" showInputMessage="1" showErrorMessage="1" sqref="G1" xr:uid="{69885FBE-2B16-4629-97A6-8B66C41DB2F1}">
      <formula1>"现房,在建,土地,-"</formula1>
    </dataValidation>
    <dataValidation type="list" allowBlank="1" showInputMessage="1" showErrorMessage="1" sqref="I1" xr:uid="{8D146E56-F135-4C42-92CD-157DE1DC957B}">
      <formula1>"项目局部,项目全部,——"</formula1>
    </dataValidation>
    <dataValidation type="list" allowBlank="1" showInputMessage="1" showErrorMessage="1" sqref="C1" xr:uid="{FF8EB5BB-A26D-4AB3-B37E-ED3B7AA8723D}">
      <formula1>项目类型</formula1>
    </dataValidation>
    <dataValidation type="list" allowBlank="1" showInputMessage="1" showErrorMessage="1" sqref="G77" xr:uid="{3BBE6DF1-DDD3-49E3-BE15-042B0F48E408}">
      <formula1>"个人住宅,2016年5月1日前购买,2016年5月1日后购买"</formula1>
    </dataValidation>
    <dataValidation type="list" allowBlank="1" showInputMessage="1" showErrorMessage="1" sqref="E103" xr:uid="{3A52C8DA-B632-4539-B109-1293E0A1BD34}">
      <formula1>"2.估价师知悉的法定优先受偿款,2.估价师知悉的除抵押担保权以外的法定优先受偿款"</formula1>
    </dataValidation>
    <dataValidation type="list" allowBlank="1" showInputMessage="1" showErrorMessage="1" sqref="H59" xr:uid="{9C3EA65C-CF37-443C-BCC3-80ED34D9126F}">
      <formula1>"非个人房产,个人住宅（满五唯一有凭证）,个人其他（有凭证）,个人其他（无凭证）"</formula1>
    </dataValidation>
    <dataValidation type="list" allowBlank="1" showInputMessage="1" showErrorMessage="1" sqref="D92" xr:uid="{0CABBD70-5329-46DE-AF95-96E09CF622D1}">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B37C2-5369-4A95-A385-2623ABA080B0}">
  <sheetPr>
    <tabColor rgb="FFFF0000"/>
  </sheetPr>
  <dimension ref="A1:AJ512"/>
  <sheetViews>
    <sheetView view="pageBreakPreview" topLeftCell="H44" zoomScaleNormal="100" zoomScaleSheetLayoutView="100" zoomScalePageLayoutView="80" workbookViewId="0">
      <selection activeCell="D56" sqref="D5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v>1511</v>
      </c>
      <c r="D1" s="646"/>
      <c r="E1" s="646"/>
      <c r="F1" s="1620" t="s">
        <v>1263</v>
      </c>
      <c r="G1" s="1452" t="s">
        <v>3393</v>
      </c>
      <c r="H1" s="1620" t="str">
        <f>IF(G1="现房","——","估价对象范围")</f>
        <v>——</v>
      </c>
      <c r="I1" s="1621"/>
    </row>
    <row r="2" spans="1:12" ht="21.75" customHeight="1" thickBot="1">
      <c r="A2" s="3328" t="str">
        <f>项目基本情况!S2</f>
        <v>北京市朝阳区东三环南路98号1幢房地产</v>
      </c>
      <c r="B2" s="3329"/>
      <c r="C2" s="3329"/>
      <c r="D2" s="3329"/>
      <c r="E2" s="3329"/>
      <c r="F2" s="3329"/>
      <c r="G2" s="3329"/>
      <c r="H2" s="3329"/>
      <c r="I2" s="3330"/>
    </row>
    <row r="3" spans="1:12" ht="13.2">
      <c r="A3" s="3332" t="s">
        <v>1264</v>
      </c>
      <c r="B3" s="3333"/>
      <c r="C3" s="3333"/>
      <c r="D3" s="3333"/>
      <c r="E3" s="3333"/>
      <c r="F3" s="3333"/>
      <c r="G3" s="3333"/>
      <c r="H3" s="3333"/>
      <c r="I3" s="3333"/>
    </row>
    <row r="4" spans="1:12" ht="14.4">
      <c r="A4" s="1623" t="s">
        <v>1265</v>
      </c>
      <c r="B4" s="1624" t="s">
        <v>1266</v>
      </c>
      <c r="C4" s="1625" t="s">
        <v>3509</v>
      </c>
      <c r="D4" s="1625" t="s">
        <v>3444</v>
      </c>
      <c r="E4" s="3337" t="s">
        <v>1267</v>
      </c>
      <c r="F4" s="3338"/>
      <c r="G4" s="3338"/>
      <c r="H4" s="3338"/>
      <c r="I4" s="3339"/>
      <c r="K4" s="138" t="str">
        <f>IF(ISNUMBER(FIND("比较法",结果表2012!C4)),"比较法",IF(ISNUMBER(FIND("成本法",结果表2012!C4)),"成本法",IF(ISNUMBER(FIND("假设开发法",结果表2012!C4)),"假设开发法",IF(ISNUMBER(FIND("收益法",结果表2012!C4)),"收益法","基准地价系数修正法"))))</f>
        <v>比较法</v>
      </c>
      <c r="L4" s="138" t="str">
        <f>IF(ISNUMBER(FIND("比较法",结果表2012!D4)),"比较法",IF(ISNUMBER(FIND("成本法",结果表2012!D4)),"成本法",IF(ISNUMBER(FIND("假设开发法",结果表2012!D4)),"假设开发法",IF(ISNUMBER(FIND("收益法",结果表2012!D4)),"收益法","基准地价系数修正法"))))</f>
        <v>收益法</v>
      </c>
    </row>
    <row r="5" spans="1:12" ht="13.2">
      <c r="A5" s="3276" t="s">
        <v>1268</v>
      </c>
      <c r="B5" s="3331">
        <v>25</v>
      </c>
      <c r="C5" s="3334"/>
      <c r="D5" s="3322"/>
      <c r="E5" s="123" t="s">
        <v>1269</v>
      </c>
      <c r="F5" s="1626"/>
      <c r="G5" s="1626"/>
      <c r="H5" s="1626"/>
      <c r="I5" s="1280"/>
    </row>
    <row r="6" spans="1:12" ht="13.2">
      <c r="A6" s="3276"/>
      <c r="B6" s="3331"/>
      <c r="C6" s="3336"/>
      <c r="D6" s="3322"/>
      <c r="E6" s="123" t="s">
        <v>1270</v>
      </c>
      <c r="F6" s="1626"/>
      <c r="G6" s="1626"/>
      <c r="H6" s="1626"/>
      <c r="I6" s="1280"/>
    </row>
    <row r="7" spans="1:12" ht="13.2">
      <c r="A7" s="3276"/>
      <c r="B7" s="3331"/>
      <c r="C7" s="3335"/>
      <c r="D7" s="3322"/>
      <c r="E7" s="123" t="s">
        <v>1271</v>
      </c>
      <c r="F7" s="1626"/>
      <c r="G7" s="1626"/>
      <c r="H7" s="1626"/>
      <c r="I7" s="1280"/>
    </row>
    <row r="8" spans="1:12" ht="13.2">
      <c r="A8" s="3276" t="s">
        <v>1272</v>
      </c>
      <c r="B8" s="3331">
        <v>15</v>
      </c>
      <c r="C8" s="3334"/>
      <c r="D8" s="3322"/>
      <c r="E8" s="123" t="s">
        <v>1273</v>
      </c>
      <c r="F8" s="1626"/>
      <c r="G8" s="1626"/>
      <c r="H8" s="1626"/>
      <c r="I8" s="1280"/>
    </row>
    <row r="9" spans="1:12" ht="13.2">
      <c r="A9" s="3276"/>
      <c r="B9" s="3331"/>
      <c r="C9" s="3335"/>
      <c r="D9" s="3322"/>
      <c r="E9" s="123" t="s">
        <v>1274</v>
      </c>
      <c r="F9" s="1626"/>
      <c r="G9" s="1626"/>
      <c r="H9" s="1626"/>
      <c r="I9" s="1280"/>
    </row>
    <row r="10" spans="1:12" ht="13.2">
      <c r="A10" s="3276" t="s">
        <v>1275</v>
      </c>
      <c r="B10" s="3331">
        <v>15</v>
      </c>
      <c r="C10" s="3334"/>
      <c r="D10" s="3322"/>
      <c r="E10" s="123" t="s">
        <v>1276</v>
      </c>
      <c r="F10" s="1626"/>
      <c r="G10" s="1626"/>
      <c r="H10" s="1626"/>
      <c r="I10" s="1280"/>
    </row>
    <row r="11" spans="1:12" ht="13.2">
      <c r="A11" s="3276"/>
      <c r="B11" s="3331"/>
      <c r="C11" s="3335"/>
      <c r="D11" s="3322"/>
      <c r="E11" s="123" t="s">
        <v>1277</v>
      </c>
      <c r="F11" s="1626"/>
      <c r="G11" s="1626"/>
      <c r="H11" s="1626"/>
      <c r="I11" s="1280"/>
    </row>
    <row r="12" spans="1:12" ht="13.2">
      <c r="A12" s="3276" t="s">
        <v>1278</v>
      </c>
      <c r="B12" s="3331">
        <v>15</v>
      </c>
      <c r="C12" s="3334"/>
      <c r="D12" s="3322"/>
      <c r="E12" s="123" t="s">
        <v>1279</v>
      </c>
      <c r="F12" s="1626"/>
      <c r="G12" s="1626"/>
      <c r="H12" s="1626"/>
      <c r="I12" s="1280"/>
    </row>
    <row r="13" spans="1:12" ht="13.2">
      <c r="A13" s="3276"/>
      <c r="B13" s="3331"/>
      <c r="C13" s="3335"/>
      <c r="D13" s="3322"/>
      <c r="E13" s="123" t="s">
        <v>1280</v>
      </c>
      <c r="F13" s="1626"/>
      <c r="G13" s="1626"/>
      <c r="H13" s="1626"/>
      <c r="I13" s="1280"/>
    </row>
    <row r="14" spans="1:12" ht="13.2">
      <c r="A14" s="3276" t="s">
        <v>1281</v>
      </c>
      <c r="B14" s="3331">
        <v>30</v>
      </c>
      <c r="C14" s="3334">
        <v>7</v>
      </c>
      <c r="D14" s="3322">
        <v>3</v>
      </c>
      <c r="E14" s="123" t="s">
        <v>1282</v>
      </c>
      <c r="F14" s="1626"/>
      <c r="G14" s="1626"/>
      <c r="H14" s="1626"/>
      <c r="I14" s="1280"/>
    </row>
    <row r="15" spans="1:12" ht="13.2">
      <c r="A15" s="3276"/>
      <c r="B15" s="3331"/>
      <c r="C15" s="3336"/>
      <c r="D15" s="3322"/>
      <c r="E15" s="123" t="s">
        <v>1283</v>
      </c>
      <c r="F15" s="1626"/>
      <c r="G15" s="1626"/>
      <c r="H15" s="1626"/>
      <c r="I15" s="1280"/>
    </row>
    <row r="16" spans="1:12" ht="13.2">
      <c r="A16" s="3276"/>
      <c r="B16" s="3331"/>
      <c r="C16" s="3335"/>
      <c r="D16" s="3322"/>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353" t="s">
        <v>2128</v>
      </c>
      <c r="F18" s="3354"/>
      <c r="G18" s="3354"/>
      <c r="H18" s="3354"/>
      <c r="I18" s="3354"/>
      <c r="K18" s="294" t="s">
        <v>1289</v>
      </c>
      <c r="L18" s="294">
        <f>IF(C1="",'数据-汇总表'!E3,SUMIF(项目类型,C1,'数据-汇总表'!E17:E26)+SUMIF(项目类型,C1,'数据-汇总表'!I17:I26))</f>
        <v>179.5</v>
      </c>
      <c r="M18" s="294">
        <f>IF(C1="",'数据-汇总表'!E3,SUMIF(项目类型,C1,'数据-汇总表'!E17:E26))</f>
        <v>179.5</v>
      </c>
    </row>
    <row r="19" spans="1:36" ht="14.4">
      <c r="A19" s="1629" t="s">
        <v>1290</v>
      </c>
      <c r="B19" s="1630" t="s">
        <v>1291</v>
      </c>
      <c r="C19" s="126">
        <f ca="1">SUMIF(INDIRECT("'"&amp;C4&amp;"'"&amp;"!A:A"),结果表2012!B19,INDIRECT("'"&amp;C4&amp;"'"&amp;"!B:B"))</f>
        <v>571.97680000000003</v>
      </c>
      <c r="D19" s="127">
        <f ca="1">SUMIF(INDIRECT("'"&amp;D4&amp;"'"&amp;"!A:A"),结果表2012!B19,INDIRECT("'"&amp;D4&amp;"'"&amp;"!B:B"))</f>
        <v>357.4246</v>
      </c>
      <c r="E19" s="1629" t="s">
        <v>1292</v>
      </c>
      <c r="F19" s="1630" t="s">
        <v>1291</v>
      </c>
      <c r="G19" s="128">
        <f ca="1">ROUND(C19*$C$18+D19*$D$18,0)</f>
        <v>508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SUMIF(INDIRECT("'"&amp;C4&amp;"'"&amp;"!A:A"),结果表2012!B20,INDIRECT("'"&amp;C4&amp;"'"&amp;"!B:B"))</f>
        <v>31865</v>
      </c>
      <c r="D20" s="130">
        <f ca="1">SUMIF(INDIRECT("'"&amp;D4&amp;"'"&amp;"!A:A"),结果表2012!B20,INDIRECT("'"&amp;D4&amp;"'"&amp;"!B:B"))</f>
        <v>19912</v>
      </c>
      <c r="E20" s="1632"/>
      <c r="F20" s="43" t="s">
        <v>1295</v>
      </c>
      <c r="G20" s="131">
        <f ca="1">ROUND(C20*$C$18+D20*$D$18,0)</f>
        <v>28279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0.60027261693794998</v>
      </c>
      <c r="E22" s="121"/>
      <c r="F22" s="121"/>
      <c r="G22" s="121"/>
      <c r="H22" s="121"/>
      <c r="I22" s="121"/>
    </row>
    <row r="23" spans="1:36" ht="13.8" thickBot="1">
      <c r="A23" s="646"/>
      <c r="B23" s="646"/>
      <c r="C23" s="646"/>
      <c r="D23" s="646"/>
      <c r="E23" s="121"/>
      <c r="F23" s="121"/>
      <c r="G23" s="3164" t="s">
        <v>3528</v>
      </c>
      <c r="H23" s="121">
        <f ca="1">N59</f>
        <v>595.70000000000005</v>
      </c>
      <c r="I23" s="121"/>
    </row>
    <row r="24" spans="1:36" ht="14.4">
      <c r="A24" s="3346" t="s">
        <v>1299</v>
      </c>
      <c r="B24" s="1630" t="s">
        <v>1291</v>
      </c>
      <c r="C24" s="128">
        <f>IF(B30=0,0,D30)</f>
        <v>0</v>
      </c>
      <c r="D24" s="1636"/>
      <c r="E24" s="121"/>
      <c r="F24" s="121"/>
      <c r="G24" s="3164" t="s">
        <v>3529</v>
      </c>
      <c r="H24" s="121">
        <f ca="1">N61</f>
        <v>6670</v>
      </c>
      <c r="I24" s="121"/>
    </row>
    <row r="25" spans="1:36" ht="14.4">
      <c r="A25" s="334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 customHeight="1" thickTop="1" thickBot="1">
      <c r="A31" s="2127"/>
      <c r="B31" s="2128"/>
      <c r="C31" s="2128"/>
      <c r="D31" s="2128"/>
      <c r="E31" s="2128"/>
      <c r="F31" s="2128"/>
      <c r="G31" s="2128"/>
      <c r="H31" s="2128"/>
      <c r="I31" s="2129" t="s">
        <v>2130</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28279</v>
      </c>
      <c r="D32" s="1640" t="s">
        <v>3511</v>
      </c>
      <c r="E32" s="121"/>
      <c r="F32" s="121"/>
      <c r="G32" s="121"/>
      <c r="H32" s="121"/>
      <c r="I32" s="121"/>
    </row>
    <row r="33" spans="1:15" ht="14.4">
      <c r="A33" s="740" t="s">
        <v>1306</v>
      </c>
      <c r="B33" s="123"/>
      <c r="C33" s="1641" t="s">
        <v>3512</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23" t="s">
        <v>1312</v>
      </c>
      <c r="B36" s="1651" t="s">
        <v>1313</v>
      </c>
      <c r="C36" s="137"/>
      <c r="D36" s="1652"/>
      <c r="E36" s="1566"/>
      <c r="F36" s="1653"/>
      <c r="G36" s="121"/>
      <c r="H36" s="121"/>
      <c r="I36" s="121"/>
    </row>
    <row r="37" spans="1:15" ht="15" thickBot="1">
      <c r="A37" s="3324"/>
      <c r="B37" s="1554" t="s">
        <v>1314</v>
      </c>
      <c r="C37" s="139"/>
      <c r="D37" s="1071"/>
      <c r="E37" s="1071"/>
      <c r="F37" s="1653"/>
      <c r="G37" s="121"/>
      <c r="H37" s="121"/>
      <c r="I37" s="121"/>
    </row>
    <row r="38" spans="1:15" ht="15" thickBot="1">
      <c r="A38" s="3325"/>
      <c r="B38" s="1654" t="s">
        <v>1315</v>
      </c>
      <c r="C38" s="641"/>
      <c r="D38" s="1655" t="s">
        <v>1316</v>
      </c>
      <c r="E38" s="1071"/>
      <c r="F38" s="1653"/>
      <c r="G38" s="121"/>
      <c r="H38" s="121"/>
      <c r="I38" s="121"/>
    </row>
    <row r="39" spans="1:15" ht="14.4">
      <c r="A39" s="1632" t="s">
        <v>1317</v>
      </c>
      <c r="B39" s="1656" t="s">
        <v>1301</v>
      </c>
      <c r="C39" s="1657" t="s">
        <v>1302</v>
      </c>
      <c r="D39" s="1657" t="s">
        <v>1320</v>
      </c>
      <c r="E39" s="1658" t="s">
        <v>1303</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3" t="s">
        <v>1326</v>
      </c>
      <c r="B45" s="3344"/>
      <c r="C45" s="3345"/>
      <c r="D45" s="3159">
        <f ca="1">典型户型修正!S28</f>
        <v>596</v>
      </c>
      <c r="E45" s="148" t="s">
        <v>1327</v>
      </c>
      <c r="F45" s="149">
        <v>1</v>
      </c>
      <c r="G45" s="150" t="s">
        <v>1328</v>
      </c>
      <c r="H45" s="121"/>
      <c r="I45" s="121"/>
      <c r="J45" s="3262" t="s">
        <v>1329</v>
      </c>
      <c r="K45" s="3262"/>
      <c r="L45" s="3262"/>
      <c r="M45" s="3262"/>
      <c r="N45" s="3262"/>
      <c r="O45" s="3262"/>
    </row>
    <row r="46" spans="1:15" ht="14.25" customHeight="1">
      <c r="A46" s="3340" t="s">
        <v>1330</v>
      </c>
      <c r="B46" s="3341"/>
      <c r="C46" s="3341"/>
      <c r="D46" s="3341"/>
      <c r="E46" s="3341"/>
      <c r="F46" s="3341"/>
      <c r="G46" s="3342"/>
      <c r="H46" s="1667"/>
      <c r="I46" s="151"/>
      <c r="J46" s="2309">
        <v>1</v>
      </c>
      <c r="K46" s="3263" t="s">
        <v>1331</v>
      </c>
      <c r="L46" s="3263"/>
      <c r="M46" s="3264"/>
      <c r="N46" s="3264"/>
      <c r="O46" s="3264"/>
    </row>
    <row r="47" spans="1:15" ht="12" customHeight="1">
      <c r="A47" s="152" t="s">
        <v>1332</v>
      </c>
      <c r="B47" s="153"/>
      <c r="C47" s="154"/>
      <c r="D47" s="1024" t="s">
        <v>1333</v>
      </c>
      <c r="E47" s="294" t="s">
        <v>1334</v>
      </c>
      <c r="F47" s="155" t="s">
        <v>1335</v>
      </c>
      <c r="G47" s="2331" t="s">
        <v>1336</v>
      </c>
      <c r="H47" s="2332"/>
      <c r="I47" s="151"/>
      <c r="J47" s="2309">
        <v>2</v>
      </c>
      <c r="K47" s="3263" t="s">
        <v>1337</v>
      </c>
      <c r="L47" s="3263"/>
      <c r="M47" s="3265">
        <f>'数据-取费表'!B2</f>
        <v>45649</v>
      </c>
      <c r="N47" s="3265"/>
      <c r="O47" s="3265"/>
    </row>
    <row r="48" spans="1:15" ht="39.6">
      <c r="A48" s="3326" t="s">
        <v>1338</v>
      </c>
      <c r="B48" s="3327"/>
      <c r="C48" s="3327"/>
      <c r="D48" s="12">
        <f ca="1">IF(H48="情况1",0,IF(H48="情况2",D52,IF(H48="情况3",D53,IF(H48="情况4",D54))))</f>
        <v>0</v>
      </c>
      <c r="E48" s="1255" t="str">
        <f>IF(H48="情况4","(销售额-原购置价)×税（费）率","销售额×税（费）率")</f>
        <v>(销售额-原购置价)×税（费）率</v>
      </c>
      <c r="F48" s="2333">
        <f>IF(H48="情况1","免征",'数据-取费表'!B41)</f>
        <v>5.6000000000000001E-2</v>
      </c>
      <c r="G48" s="2334" t="s">
        <v>1339</v>
      </c>
      <c r="H48" s="2335" t="s">
        <v>3523</v>
      </c>
      <c r="I48" s="1667"/>
      <c r="J48" s="2309">
        <v>3</v>
      </c>
      <c r="K48" s="3263" t="s">
        <v>1340</v>
      </c>
      <c r="L48" s="3263"/>
      <c r="M48" s="3266">
        <f ca="1">D45</f>
        <v>596</v>
      </c>
      <c r="N48" s="3266"/>
      <c r="O48" s="3266"/>
    </row>
    <row r="49" spans="1:35" ht="25.5" customHeight="1">
      <c r="A49" s="2151" t="s">
        <v>1341</v>
      </c>
      <c r="B49" s="3312" t="s">
        <v>1342</v>
      </c>
      <c r="C49" s="3312"/>
      <c r="D49" s="1477">
        <v>0</v>
      </c>
      <c r="E49" s="316" t="s">
        <v>1343</v>
      </c>
      <c r="F49" s="2232" t="s">
        <v>28</v>
      </c>
      <c r="G49" s="3295"/>
      <c r="H49" s="2133" t="s">
        <v>2131</v>
      </c>
      <c r="I49" s="2134"/>
      <c r="J49" s="2309">
        <v>4</v>
      </c>
      <c r="K49" s="3263" t="str">
        <f>IF(项目基本情况!E8="房地产抵押价值","房地产抵押价值","抵押担保权已注销时的房地产抵押价值")</f>
        <v>房地产抵押价值</v>
      </c>
      <c r="L49" s="3263"/>
      <c r="M49" s="3267">
        <f ca="1">D45</f>
        <v>596</v>
      </c>
      <c r="N49" s="3267"/>
      <c r="O49" s="3267"/>
    </row>
    <row r="50" spans="1:35" ht="25.5" customHeight="1">
      <c r="A50" s="2336"/>
      <c r="B50" s="3312" t="s">
        <v>1344</v>
      </c>
      <c r="C50" s="3312"/>
      <c r="D50" s="2188"/>
      <c r="E50" s="323"/>
      <c r="F50" s="2232"/>
      <c r="G50" s="3296"/>
      <c r="H50" s="2135" t="s">
        <v>2132</v>
      </c>
      <c r="I50" s="2134"/>
      <c r="J50" s="3262" t="s">
        <v>1345</v>
      </c>
      <c r="K50" s="3262"/>
      <c r="L50" s="3262"/>
      <c r="M50" s="3262"/>
      <c r="N50" s="3262"/>
      <c r="O50" s="3262"/>
    </row>
    <row r="51" spans="1:35" ht="20.399999999999999" customHeight="1">
      <c r="A51" s="2337"/>
      <c r="B51" s="3312" t="s">
        <v>1346</v>
      </c>
      <c r="C51" s="3312"/>
      <c r="D51" s="1024"/>
      <c r="E51" s="319"/>
      <c r="F51" s="2232"/>
      <c r="G51" s="3297"/>
      <c r="H51" s="2135" t="s">
        <v>2133</v>
      </c>
      <c r="I51" s="2134"/>
      <c r="J51" s="2310" t="s">
        <v>1347</v>
      </c>
      <c r="K51" s="3263" t="s">
        <v>1348</v>
      </c>
      <c r="L51" s="3263"/>
      <c r="M51" s="2310" t="s">
        <v>1349</v>
      </c>
      <c r="N51" s="2310" t="s">
        <v>1350</v>
      </c>
      <c r="O51" s="2310" t="s">
        <v>1351</v>
      </c>
    </row>
    <row r="52" spans="1:35" ht="24" customHeight="1">
      <c r="A52" s="2152" t="s">
        <v>1352</v>
      </c>
      <c r="B52" s="3312" t="s">
        <v>1353</v>
      </c>
      <c r="C52" s="3312"/>
      <c r="D52" s="1024">
        <f ca="1">ROUND(D45*'数据-取费表'!B41/(1+'数据-取费表'!C42),0)</f>
        <v>32</v>
      </c>
      <c r="E52" s="1255" t="s">
        <v>1354</v>
      </c>
      <c r="F52" s="2338">
        <f>'数据-取费表'!B41</f>
        <v>5.6000000000000001E-2</v>
      </c>
      <c r="G52" s="2339"/>
      <c r="H52" s="2329"/>
      <c r="I52" s="1668"/>
      <c r="J52" s="2309">
        <v>1</v>
      </c>
      <c r="K52" s="3289" t="s">
        <v>1355</v>
      </c>
      <c r="L52" s="3289"/>
      <c r="M52" s="2311">
        <f ca="1">D48</f>
        <v>0</v>
      </c>
      <c r="N52" s="2309" t="str">
        <f>E48</f>
        <v>(销售额-原购置价)×税（费）率</v>
      </c>
      <c r="O52" s="2312">
        <f>F48</f>
        <v>5.6000000000000001E-2</v>
      </c>
    </row>
    <row r="53" spans="1:35" ht="12" customHeight="1">
      <c r="A53" s="2152" t="s">
        <v>1356</v>
      </c>
      <c r="B53" s="3313" t="s">
        <v>2288</v>
      </c>
      <c r="C53" s="3314"/>
      <c r="D53" s="1024">
        <f ca="1">ROUND(D45*'数据-取费表'!B41/(1+'数据-取费表'!C42),0)</f>
        <v>32</v>
      </c>
      <c r="E53" s="1255" t="s">
        <v>1354</v>
      </c>
      <c r="F53" s="2338">
        <f>'数据-取费表'!B41</f>
        <v>5.6000000000000001E-2</v>
      </c>
      <c r="G53" s="2339"/>
      <c r="H53" s="2329"/>
      <c r="I53" s="1668"/>
      <c r="J53" s="2309">
        <v>2</v>
      </c>
      <c r="K53" s="3289" t="s">
        <v>1357</v>
      </c>
      <c r="L53" s="3289"/>
      <c r="M53" s="2311">
        <f t="shared" ref="M53:O54" ca="1" si="0">D55</f>
        <v>0.3</v>
      </c>
      <c r="N53" s="2309" t="str">
        <f t="shared" si="0"/>
        <v>销售额×税（费）率</v>
      </c>
      <c r="O53" s="2312">
        <f t="shared" si="0"/>
        <v>5.0000000000000001E-4</v>
      </c>
    </row>
    <row r="54" spans="1:35" ht="12" customHeight="1">
      <c r="A54" s="2152" t="s">
        <v>1358</v>
      </c>
      <c r="B54" s="3313" t="s">
        <v>2289</v>
      </c>
      <c r="C54" s="3314"/>
      <c r="D54" s="1024">
        <f ca="1">C68</f>
        <v>0</v>
      </c>
      <c r="E54" s="319" t="s">
        <v>1359</v>
      </c>
      <c r="F54" s="2338">
        <f>'数据-取费表'!B41</f>
        <v>5.6000000000000001E-2</v>
      </c>
      <c r="G54" s="2339"/>
      <c r="H54" s="2340"/>
      <c r="I54" s="1668"/>
      <c r="J54" s="2309">
        <v>3</v>
      </c>
      <c r="K54" s="3289" t="s">
        <v>1360</v>
      </c>
      <c r="L54" s="3289"/>
      <c r="M54" s="2311">
        <f t="shared" ca="1" si="0"/>
        <v>0</v>
      </c>
      <c r="N54" s="2309" t="str">
        <f t="shared" si="0"/>
        <v>增值额×税（费）率</v>
      </c>
      <c r="O54" s="2313" t="str">
        <f t="shared" si="0"/>
        <v>——</v>
      </c>
    </row>
    <row r="55" spans="1:35" ht="24" customHeight="1">
      <c r="A55" s="3349" t="s">
        <v>1361</v>
      </c>
      <c r="B55" s="3327"/>
      <c r="C55" s="3327"/>
      <c r="D55" s="12">
        <f ca="1">IF(H55="个人住宅",0,ROUND(D45*I55,2))</f>
        <v>0.3</v>
      </c>
      <c r="E55" s="1255" t="s">
        <v>1362</v>
      </c>
      <c r="F55" s="2338">
        <f>IF(H55="正常",I55,"免征")</f>
        <v>5.0000000000000001E-4</v>
      </c>
      <c r="G55" s="2339"/>
      <c r="H55" s="2335" t="s">
        <v>3450</v>
      </c>
      <c r="I55" s="157">
        <f>'数据-取费表'!B49</f>
        <v>5.0000000000000001E-4</v>
      </c>
      <c r="J55" s="2309" t="str">
        <f>IF(H59="非个人房产","",4)</f>
        <v/>
      </c>
      <c r="K55" s="3289" t="str">
        <f>IF(H59="非个人房产","——","个人所得税")</f>
        <v>——</v>
      </c>
      <c r="L55" s="3289"/>
      <c r="M55" s="2314" t="str">
        <f>D59</f>
        <v>——</v>
      </c>
      <c r="N55" s="1882" t="str">
        <f>E59</f>
        <v>——</v>
      </c>
      <c r="O55" s="2315" t="str">
        <f>F59</f>
        <v>——</v>
      </c>
    </row>
    <row r="56" spans="1:35" ht="25.2">
      <c r="A56" s="3349" t="s">
        <v>1363</v>
      </c>
      <c r="B56" s="3327"/>
      <c r="C56" s="3327"/>
      <c r="D56" s="12">
        <f ca="1">IF(H56="个人住宅",D57,D58)</f>
        <v>0</v>
      </c>
      <c r="E56" s="1255" t="s">
        <v>1364</v>
      </c>
      <c r="F56" s="2338" t="str">
        <f>IF(H56="正常",F58,"免征")</f>
        <v>——</v>
      </c>
      <c r="G56" s="2341" t="s">
        <v>1365</v>
      </c>
      <c r="H56" s="2342" t="s">
        <v>3450</v>
      </c>
      <c r="I56" s="1669"/>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3.2">
      <c r="A57" s="2152" t="s">
        <v>1341</v>
      </c>
      <c r="B57" s="3313" t="s">
        <v>1366</v>
      </c>
      <c r="C57" s="3314"/>
      <c r="D57" s="1477">
        <v>0</v>
      </c>
      <c r="E57" s="316" t="s">
        <v>1343</v>
      </c>
      <c r="F57" s="294"/>
      <c r="G57" s="2339"/>
      <c r="H57" s="2343"/>
      <c r="I57" s="1669"/>
      <c r="J57" s="3289">
        <f>IF(AND(J55="",J56=""),4,IF(项目基本情况!K6="上海银行",结果表2012!J56+1,结果表2012!J55+1))</f>
        <v>4</v>
      </c>
      <c r="K57" s="3289" t="s">
        <v>1367</v>
      </c>
      <c r="L57" s="2316" t="s">
        <v>1368</v>
      </c>
      <c r="M57" s="2317"/>
      <c r="N57" s="2318">
        <f ca="1">SUMIF(M52:M56,"&lt;9e307")</f>
        <v>0.3</v>
      </c>
      <c r="O57" s="2319"/>
      <c r="P57" s="2462">
        <f ca="1">N57/M49</f>
        <v>5.0335570469798652E-4</v>
      </c>
    </row>
    <row r="58" spans="1:35" ht="25.2">
      <c r="A58" s="2152" t="s">
        <v>1352</v>
      </c>
      <c r="B58" s="3313" t="s">
        <v>1369</v>
      </c>
      <c r="C58" s="3312"/>
      <c r="D58" s="12">
        <f ca="1">IF(H58="转让取得",C81,C97)</f>
        <v>0</v>
      </c>
      <c r="E58" s="1255" t="s">
        <v>1364</v>
      </c>
      <c r="F58" s="294" t="s">
        <v>28</v>
      </c>
      <c r="G58" s="2339"/>
      <c r="H58" s="2342" t="s">
        <v>3524</v>
      </c>
      <c r="I58" s="1669"/>
      <c r="J58" s="3289"/>
      <c r="K58" s="3289"/>
      <c r="L58" s="2316" t="s">
        <v>1370</v>
      </c>
      <c r="M58" s="2320"/>
      <c r="N58" s="2321" t="str">
        <f ca="1">NUMBERSTRING(INT(N57*10000),2)&amp;"元整"</f>
        <v>叁仟元整</v>
      </c>
      <c r="O58" s="2322"/>
    </row>
    <row r="59" spans="1:35" ht="24.6" thickBot="1">
      <c r="A59" s="3293" t="s">
        <v>1371</v>
      </c>
      <c r="B59" s="3294"/>
      <c r="C59" s="329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3525</v>
      </c>
      <c r="I59" s="2136" t="s">
        <v>2134</v>
      </c>
      <c r="J59" s="3291">
        <f>J57+1</f>
        <v>5</v>
      </c>
      <c r="K59" s="3289" t="s">
        <v>1372</v>
      </c>
      <c r="L59" s="2309" t="s">
        <v>1368</v>
      </c>
      <c r="M59" s="2323"/>
      <c r="N59" s="2324">
        <f ca="1">M49-N57</f>
        <v>595.70000000000005</v>
      </c>
      <c r="O59" s="2325"/>
    </row>
    <row r="60" spans="1:35" ht="12" customHeight="1">
      <c r="A60" s="1670"/>
      <c r="B60" s="646"/>
      <c r="C60" s="646"/>
      <c r="D60" s="646"/>
      <c r="E60" s="1465"/>
      <c r="F60" s="1669"/>
      <c r="G60" s="1669"/>
      <c r="H60" s="151"/>
      <c r="I60" s="121"/>
      <c r="J60" s="3292"/>
      <c r="K60" s="3289"/>
      <c r="L60" s="2316" t="s">
        <v>1370</v>
      </c>
      <c r="M60" s="2320"/>
      <c r="N60" s="2321" t="str">
        <f ca="1">NUMBERSTRING(INT(N59*10000),2)&amp;"元整"</f>
        <v>伍佰玖拾伍万柒仟元整</v>
      </c>
      <c r="O60" s="2322"/>
    </row>
    <row r="61" spans="1:35" ht="13.8" thickBot="1">
      <c r="A61" s="3348" t="s">
        <v>1373</v>
      </c>
      <c r="B61" s="3348"/>
      <c r="C61" s="3348"/>
      <c r="D61" s="3348"/>
      <c r="E61" s="3348"/>
      <c r="F61" s="1669"/>
      <c r="G61" s="1669"/>
      <c r="H61" s="151"/>
      <c r="I61" s="121"/>
      <c r="J61" s="2309">
        <f>J59+1</f>
        <v>6</v>
      </c>
      <c r="K61" s="3289" t="s">
        <v>1374</v>
      </c>
      <c r="L61" s="3289"/>
      <c r="M61" s="2326"/>
      <c r="N61" s="3165">
        <f ca="1">ROUND(N59*10000/面积清单!H9,0)</f>
        <v>6670</v>
      </c>
      <c r="O61" s="2327"/>
    </row>
    <row r="62" spans="1:35" ht="13.2">
      <c r="A62" s="3308" t="s">
        <v>1375</v>
      </c>
      <c r="B62" s="3309"/>
      <c r="C62" s="1864"/>
      <c r="D62" s="1864" t="s">
        <v>1376</v>
      </c>
      <c r="E62" s="158" t="s">
        <v>1377</v>
      </c>
      <c r="F62" s="1669"/>
      <c r="G62" s="1669"/>
      <c r="H62" s="151"/>
      <c r="I62" s="121"/>
    </row>
    <row r="63" spans="1:35" ht="13.2">
      <c r="A63" s="165" t="s">
        <v>330</v>
      </c>
      <c r="B63" s="159" t="s">
        <v>1378</v>
      </c>
      <c r="C63" s="2348">
        <f ca="1">ROUND((C64+C65)/(1+'数据-取费表'!C42),0)</f>
        <v>568</v>
      </c>
      <c r="D63" s="159"/>
      <c r="E63" s="160"/>
      <c r="F63" s="1669"/>
      <c r="G63" s="1669"/>
      <c r="H63" s="151"/>
      <c r="I63" s="121"/>
      <c r="J63" s="3272" t="s">
        <v>1379</v>
      </c>
      <c r="K63" s="1245" t="s">
        <v>1380</v>
      </c>
      <c r="L63" s="1245">
        <f ca="1">IF(M49&gt;10000,M49*0.5%,IF(AND(M49&gt;1000,M49&lt;=10000),M49*1%,IF(AND(M49&gt;100,M49&lt;=1000),M49*3%,IF(AND(M49&gt;10,M49&lt;=100),M49*5%,M49*8%))))</f>
        <v>17.88</v>
      </c>
      <c r="M63" s="294">
        <f ca="1">ROUND(L63,1)</f>
        <v>17.899999999999999</v>
      </c>
      <c r="N63" s="2328"/>
      <c r="Z63" s="1622"/>
      <c r="AI63" s="1560"/>
    </row>
    <row r="64" spans="1:35" ht="14.25" customHeight="1">
      <c r="A64" s="161" t="s">
        <v>325</v>
      </c>
      <c r="B64" s="162" t="s">
        <v>1381</v>
      </c>
      <c r="C64" s="2349">
        <f ca="1">D45</f>
        <v>596</v>
      </c>
      <c r="D64" s="162" t="s">
        <v>26</v>
      </c>
      <c r="E64" s="164"/>
      <c r="F64" s="1669"/>
      <c r="G64" s="1669"/>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4.1719999999999997</v>
      </c>
      <c r="M64" s="294">
        <f t="shared" ref="M64:M65" ca="1" si="1">ROUND(L64,1)</f>
        <v>4.2</v>
      </c>
      <c r="N64" s="2329" t="s">
        <v>1383</v>
      </c>
      <c r="Z64" s="1622"/>
      <c r="AI64" s="1560"/>
    </row>
    <row r="65" spans="1:35" ht="14.25" customHeight="1">
      <c r="A65" s="161" t="s">
        <v>326</v>
      </c>
      <c r="B65" s="162" t="s">
        <v>1384</v>
      </c>
      <c r="C65" s="2350"/>
      <c r="D65" s="162"/>
      <c r="E65" s="164"/>
      <c r="F65" s="1669"/>
      <c r="G65" s="1669"/>
      <c r="H65" s="151"/>
      <c r="I65" s="121"/>
      <c r="J65" s="3272"/>
      <c r="K65" s="1245" t="s">
        <v>1385</v>
      </c>
      <c r="L65" s="1245">
        <f ca="1">IF(M49&gt;1000,M49*0.1%,IF(AND(M49&gt;500,M49&lt;=1000),M49*0.5%,IF(AND(M49&gt;50,M49&lt;=500),M49*1%,IF(AND(M49&gt;1,M49&lt;=50),M49*1.5%))))</f>
        <v>2.98</v>
      </c>
      <c r="M65" s="294">
        <f t="shared" ca="1" si="1"/>
        <v>3</v>
      </c>
      <c r="N65" s="2329" t="s">
        <v>1383</v>
      </c>
      <c r="Z65" s="1622"/>
      <c r="AI65" s="1560"/>
    </row>
    <row r="66" spans="1:35" ht="14.25" customHeight="1">
      <c r="A66" s="165" t="s">
        <v>327</v>
      </c>
      <c r="B66" s="166" t="s">
        <v>1386</v>
      </c>
      <c r="C66" s="2351">
        <f>ROUND(面积清单!L9/1.05/10000,0)</f>
        <v>3481</v>
      </c>
      <c r="D66" s="166" t="s">
        <v>26</v>
      </c>
      <c r="E66" s="1250" t="s">
        <v>671</v>
      </c>
      <c r="F66" s="1669"/>
      <c r="G66" s="1669"/>
      <c r="H66" s="151"/>
      <c r="I66" s="121"/>
      <c r="J66" s="3272"/>
      <c r="K66" s="1245" t="s">
        <v>1387</v>
      </c>
      <c r="L66" s="1245">
        <f ca="1">M49*0.5%</f>
        <v>2.98</v>
      </c>
      <c r="M66" s="294">
        <f ca="1">IF(L66&gt;0.5,0.5,ROUND(L66,0))</f>
        <v>0.5</v>
      </c>
      <c r="N66" s="2329" t="s">
        <v>1388</v>
      </c>
      <c r="Z66" s="1622"/>
      <c r="AI66" s="1560"/>
    </row>
    <row r="67" spans="1:35" ht="14.25" customHeight="1">
      <c r="A67" s="165" t="s">
        <v>328</v>
      </c>
      <c r="B67" s="166" t="s">
        <v>1389</v>
      </c>
      <c r="C67" s="2352">
        <f ca="1">C63-C66</f>
        <v>-2913</v>
      </c>
      <c r="D67" s="162" t="s">
        <v>26</v>
      </c>
      <c r="E67" s="164"/>
      <c r="F67" s="1669"/>
      <c r="G67" s="1669"/>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1.74</v>
      </c>
      <c r="M67" s="294">
        <f ca="1">ROUND(L67*0.9,1)</f>
        <v>1.6</v>
      </c>
      <c r="N67" s="2328"/>
      <c r="Z67" s="1622"/>
      <c r="AI67" s="1560"/>
    </row>
    <row r="68" spans="1:35" ht="14.25" customHeight="1" thickBot="1">
      <c r="A68" s="168" t="s">
        <v>329</v>
      </c>
      <c r="B68" s="169" t="s">
        <v>1391</v>
      </c>
      <c r="C68" s="2353">
        <f ca="1">IF(C67&lt;=0,0,ROUND(C67*D68,0))</f>
        <v>0</v>
      </c>
      <c r="D68" s="2354">
        <f>'数据-取费表'!B41</f>
        <v>5.6000000000000001E-2</v>
      </c>
      <c r="E68" s="170"/>
      <c r="F68" s="1669"/>
      <c r="G68" s="1669"/>
      <c r="H68" s="151"/>
      <c r="I68" s="121"/>
      <c r="J68" s="3272"/>
      <c r="K68" s="1245" t="s">
        <v>1392</v>
      </c>
      <c r="L68" s="1245">
        <f ca="1">IF(M49&gt;10000,M49*0.5%,IF(AND(M49&gt;5000,M49&lt;=10000),M49*1%,IF(AND(M49&gt;1000,M49&lt;=5000),M49*2%,IF(AND(M49&gt;200,M49&lt;=1000),M49*3%,M49*5%))))</f>
        <v>17.88</v>
      </c>
      <c r="M68" s="294">
        <f ca="1">ROUND(L68,1)</f>
        <v>17.899999999999999</v>
      </c>
      <c r="N68" s="2328"/>
      <c r="Z68" s="1622"/>
      <c r="AI68" s="1560"/>
    </row>
    <row r="69" spans="1:35" ht="16.5" customHeight="1">
      <c r="A69" s="1671"/>
      <c r="B69" s="1672"/>
      <c r="C69" s="1673"/>
      <c r="D69" s="1674"/>
      <c r="E69" s="1675"/>
      <c r="F69" s="1465"/>
      <c r="G69" s="1465"/>
      <c r="H69" s="1466"/>
      <c r="I69" s="646"/>
      <c r="J69" s="3272"/>
      <c r="K69" s="1245" t="s">
        <v>1393</v>
      </c>
      <c r="L69" s="1245"/>
      <c r="M69" s="294">
        <f ca="1">ROUND(SUM(M63:M68),0)</f>
        <v>45</v>
      </c>
      <c r="N69" s="2330">
        <f ca="1">M69/M49</f>
        <v>7.5503355704697989E-2</v>
      </c>
      <c r="Z69" s="1622"/>
      <c r="AI69" s="1560"/>
    </row>
    <row r="70" spans="1:35" s="642" customFormat="1" ht="14.4" thickBot="1">
      <c r="A70" s="3316" t="s">
        <v>1394</v>
      </c>
      <c r="B70" s="3317"/>
      <c r="C70" s="3317"/>
      <c r="D70" s="3317"/>
      <c r="E70" s="3317"/>
      <c r="F70" s="3317"/>
      <c r="G70" s="3317"/>
      <c r="H70" s="331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08" t="s">
        <v>1375</v>
      </c>
      <c r="B71" s="330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2">
        <f ca="1">ROUND(D45/(1+'数据-取费表'!C42),0)</f>
        <v>568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2">
        <f ca="1">C74+C78</f>
        <v>1045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1042</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3168">
        <f>面积清单!L8/10000</f>
        <v>812.85239999999999</v>
      </c>
      <c r="D75" s="162" t="s">
        <v>26</v>
      </c>
      <c r="E75" s="176" t="s">
        <v>1399</v>
      </c>
      <c r="F75" s="2356" t="s">
        <v>3526</v>
      </c>
      <c r="G75" s="176" t="s">
        <v>1400</v>
      </c>
      <c r="H75" s="2357">
        <f>2024-2018</f>
        <v>6</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244</v>
      </c>
      <c r="D76" s="2358">
        <v>0.05</v>
      </c>
      <c r="E76" s="3313" t="s">
        <v>1402</v>
      </c>
      <c r="F76" s="3312"/>
      <c r="G76" s="3312"/>
      <c r="H76" s="331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24</v>
      </c>
      <c r="D77" s="2359">
        <f>'数据-取费表'!B48+'数据-取费表'!B49</f>
        <v>3.0499999999999999E-2</v>
      </c>
      <c r="E77" s="12" t="s">
        <v>1404</v>
      </c>
      <c r="F77" s="178"/>
      <c r="G77" s="1681" t="s">
        <v>3532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3</v>
      </c>
      <c r="D78" s="2361">
        <f>'数据-取费表'!B43</f>
        <v>6.000000000000001E-3</v>
      </c>
      <c r="E78" s="3305" t="s">
        <v>1406</v>
      </c>
      <c r="F78" s="3306"/>
      <c r="G78" s="3306"/>
      <c r="H78" s="33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328</v>
      </c>
      <c r="B79" s="166" t="s">
        <v>1407</v>
      </c>
      <c r="C79" s="2352">
        <f ca="1">C72-C73</f>
        <v>-477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6" t="s">
        <v>1410</v>
      </c>
      <c r="B83" s="3317"/>
      <c r="C83" s="3317"/>
      <c r="D83" s="3317"/>
      <c r="E83" s="3317"/>
      <c r="F83" s="3317"/>
      <c r="G83" s="3317"/>
      <c r="H83" s="331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08" t="s">
        <v>1375</v>
      </c>
      <c r="B84" s="330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2">
        <f ca="1">ROUND(D45/(1+'数据-取费表'!C42),0)</f>
        <v>568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2">
        <f ca="1">IF(H88="仅含出让金",C87+C90+C91+C92+C93+C94,C87+C91+C92+C93+C94)</f>
        <v>3</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6"/>
      <c r="D88" s="2361"/>
      <c r="E88" s="185" t="s">
        <v>1413</v>
      </c>
      <c r="F88" s="2147"/>
      <c r="G88" s="186" t="s">
        <v>1414</v>
      </c>
      <c r="H88" s="1683"/>
      <c r="I88" s="1680"/>
      <c r="J88" s="2307"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6"/>
      <c r="D90" s="2361"/>
      <c r="E90" s="185" t="str">
        <f>IF(H88="-","土地取得成本中已包含该笔费用"," ")</f>
        <v xml:space="preserve"> </v>
      </c>
      <c r="F90" s="2147"/>
      <c r="G90" s="3274" t="s">
        <v>2126</v>
      </c>
      <c r="H90" s="3275"/>
      <c r="I90" s="1680"/>
      <c r="J90" s="2307"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305" t="s">
        <v>1419</v>
      </c>
      <c r="F91" s="3306"/>
      <c r="G91" s="330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05" t="s">
        <v>1422</v>
      </c>
      <c r="F92" s="3306"/>
      <c r="G92" s="3306"/>
      <c r="H92" s="3307"/>
      <c r="I92" s="1680"/>
      <c r="J92" s="2308"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3</v>
      </c>
      <c r="D93" s="2361">
        <f>'数据-取费表'!B43</f>
        <v>6.000000000000001E-3</v>
      </c>
      <c r="E93" s="3305" t="s">
        <v>1406</v>
      </c>
      <c r="F93" s="3306"/>
      <c r="G93" s="3306"/>
      <c r="H93" s="33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50" t="s">
        <v>1426</v>
      </c>
      <c r="F94" s="3351"/>
      <c r="G94" s="3351"/>
      <c r="H94" s="33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328</v>
      </c>
      <c r="B95" s="166" t="s">
        <v>1407</v>
      </c>
      <c r="C95" s="2352">
        <f ca="1">ROUND(C85-C86,0)</f>
        <v>565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f ca="1">IF(C95&lt;=0,0,C95/C86)</f>
        <v>188.33333333333334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3">
        <f ca="1">ROUND(IF(C95&lt;=0,0,IF(C96&gt;=200%,C95*60%-C86*35%,IF(C96&gt;=100%,C95*50%-C86*15%,IF(C96&gt;=50%,C95*40%-C86*5%,IF(C96&lt;50%,C95*30%,0))))),0)</f>
        <v>338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4" t="s">
        <v>1428</v>
      </c>
      <c r="B100" s="3255"/>
      <c r="C100" s="3255"/>
      <c r="D100" s="3290"/>
      <c r="E100" s="3255" t="s">
        <v>1429</v>
      </c>
      <c r="F100" s="3255"/>
      <c r="G100" s="3255"/>
      <c r="H100" s="3290"/>
      <c r="I100" s="121"/>
    </row>
    <row r="101" spans="1:35" ht="18.75" customHeight="1">
      <c r="A101" s="3298" t="s">
        <v>1430</v>
      </c>
      <c r="B101" s="3299"/>
      <c r="C101" s="2369" t="str">
        <f>C4</f>
        <v>比较法-办公</v>
      </c>
      <c r="D101" s="2370" t="str">
        <f>D4</f>
        <v>收益法 (元)</v>
      </c>
      <c r="E101" s="3268" t="s">
        <v>1431</v>
      </c>
      <c r="F101" s="3269"/>
      <c r="G101" s="1686" t="s">
        <v>1432</v>
      </c>
      <c r="H101" s="2379">
        <f ca="1">H118</f>
        <v>508</v>
      </c>
      <c r="I101" s="121"/>
    </row>
    <row r="102" spans="1:35" ht="18.75" customHeight="1">
      <c r="A102" s="3300" t="s">
        <v>1433</v>
      </c>
      <c r="B102" s="2368" t="s">
        <v>1432</v>
      </c>
      <c r="C102" s="2369">
        <f ca="1">IF(D32="楼面单价",ROUND(C19,0),C19)</f>
        <v>572</v>
      </c>
      <c r="D102" s="2370">
        <f ca="1">IF(D32="楼面单价",ROUND(D19,0),D19)</f>
        <v>357</v>
      </c>
      <c r="E102" s="3268"/>
      <c r="F102" s="3269"/>
      <c r="G102" s="1686" t="s">
        <v>1434</v>
      </c>
      <c r="H102" s="2339">
        <f ca="1">I118</f>
        <v>28279</v>
      </c>
      <c r="I102" s="121"/>
    </row>
    <row r="103" spans="1:35" ht="42.75" customHeight="1">
      <c r="A103" s="3300"/>
      <c r="B103" s="2368" t="s">
        <v>1434</v>
      </c>
      <c r="C103" s="2371">
        <f ca="1">C20</f>
        <v>31865</v>
      </c>
      <c r="D103" s="2372">
        <f ca="1">D20</f>
        <v>19912</v>
      </c>
      <c r="E103" s="3260" t="s">
        <v>1435</v>
      </c>
      <c r="F103" s="3261"/>
      <c r="G103" s="1687" t="s">
        <v>1436</v>
      </c>
      <c r="H103" s="2379">
        <f>IF(D36="正常操作",H104+H105+H106,H105+H106)</f>
        <v>0</v>
      </c>
      <c r="I103" s="121"/>
    </row>
    <row r="104" spans="1:35" ht="18.75" customHeight="1">
      <c r="A104" s="3300" t="s">
        <v>1437</v>
      </c>
      <c r="B104" s="2373" t="s">
        <v>1432</v>
      </c>
      <c r="C104" s="2374">
        <f ca="1">H118</f>
        <v>508</v>
      </c>
      <c r="D104" s="2375"/>
      <c r="E104" s="1554" t="s">
        <v>1438</v>
      </c>
      <c r="F104" s="1547"/>
      <c r="G104" s="1687" t="s">
        <v>1436</v>
      </c>
      <c r="H104" s="2380">
        <f>IF(D36="同一抵押权人同一抵押物续贷",C36&amp;"（续贷，未扣减，详见特别提示）",C36)</f>
        <v>0</v>
      </c>
      <c r="I104" s="121"/>
    </row>
    <row r="105" spans="1:35" ht="18.75" customHeight="1" thickBot="1">
      <c r="A105" s="3310"/>
      <c r="B105" s="2376" t="s">
        <v>1434</v>
      </c>
      <c r="C105" s="2377">
        <f ca="1">I118</f>
        <v>28279</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01" t="str">
        <f>IF(项目基本情况!E8="已注销","——","3.房地产抵押价值")</f>
        <v>3.房地产抵押价值</v>
      </c>
      <c r="F107" s="3269"/>
      <c r="G107" s="1686" t="s">
        <v>1432</v>
      </c>
      <c r="H107" s="2379">
        <f ca="1">IF(E107="——","——",H101-H103)</f>
        <v>508</v>
      </c>
      <c r="I107" s="121"/>
    </row>
    <row r="108" spans="1:35" ht="18.75" customHeight="1">
      <c r="A108" s="121"/>
      <c r="B108" s="121"/>
      <c r="C108" s="121"/>
      <c r="D108" s="121"/>
      <c r="E108" s="3301"/>
      <c r="F108" s="3269"/>
      <c r="G108" s="1686" t="s">
        <v>1434</v>
      </c>
      <c r="H108" s="2339">
        <f ca="1">IF(H107=H101,H102,ROUND(H107*10000/'数据-汇总表'!E3,0))</f>
        <v>28279</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6" t="s">
        <v>1432</v>
      </c>
      <c r="H109" s="2382" t="str">
        <f>IF(E109="——","——",H101-H105-H106)</f>
        <v>——</v>
      </c>
      <c r="I109" s="121"/>
    </row>
    <row r="110" spans="1:35" ht="18.75" customHeight="1">
      <c r="A110" s="121"/>
      <c r="B110" s="121"/>
      <c r="C110" s="121"/>
      <c r="D110" s="121"/>
      <c r="E110" s="3301"/>
      <c r="F110" s="3269"/>
      <c r="G110" s="1686" t="s">
        <v>1434</v>
      </c>
      <c r="H110" s="2339"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4.抵押净值</v>
      </c>
      <c r="F111" s="3288"/>
      <c r="G111" s="1686" t="s">
        <v>1432</v>
      </c>
      <c r="H111" s="2379">
        <f ca="1">IF(E111="——","——",N59)</f>
        <v>595.70000000000005</v>
      </c>
      <c r="I111" s="121"/>
    </row>
    <row r="112" spans="1:35" ht="18.75" customHeight="1" thickBot="1">
      <c r="A112" s="121"/>
      <c r="B112" s="121"/>
      <c r="C112" s="121"/>
      <c r="D112" s="121"/>
      <c r="E112" s="3303"/>
      <c r="F112" s="3304"/>
      <c r="G112" s="1689" t="s">
        <v>1434</v>
      </c>
      <c r="H112" s="2383">
        <f ca="1">IF(E111="——","——",N61)</f>
        <v>6670</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0"/>
      <c r="F114" s="1670"/>
      <c r="G114" s="1670"/>
      <c r="H114" s="1670"/>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49" t="s">
        <v>1449</v>
      </c>
      <c r="E117" s="2149" t="s">
        <v>1450</v>
      </c>
      <c r="F117" s="2149" t="s">
        <v>1449</v>
      </c>
      <c r="G117" s="2149" t="s">
        <v>1451</v>
      </c>
      <c r="H117" s="2149" t="s">
        <v>1449</v>
      </c>
      <c r="I117" s="2149" t="s">
        <v>1451</v>
      </c>
    </row>
    <row r="118" spans="1:27" ht="24.75" customHeight="1">
      <c r="A118" s="2384" t="str">
        <f>项目基本情况!S2</f>
        <v>北京市朝阳区东三环南路98号1幢房地产</v>
      </c>
      <c r="B118" s="2149">
        <f>M18</f>
        <v>179.5</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508</v>
      </c>
      <c r="I118" s="2149">
        <f ca="1">ROUND(IF(D32="楼面单价",C32,H118*10000/B118),0)</f>
        <v>28279</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伍佰零捌万元整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508</v>
      </c>
      <c r="E122" s="3278"/>
      <c r="F122" s="3278"/>
      <c r="G122" s="3278"/>
      <c r="H122" s="3278"/>
      <c r="I122" s="3279"/>
      <c r="AA122" s="684"/>
    </row>
    <row r="123" spans="1:27" ht="18.75" customHeight="1">
      <c r="A123" s="3276" t="s">
        <v>1452</v>
      </c>
      <c r="B123" s="3276"/>
      <c r="C123" s="3276"/>
      <c r="D123" s="3282" t="str">
        <f ca="1">NUMBERSTRING(INT(D122*10000),2)&amp;"元整"</f>
        <v>伍佰零捌万元整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抵押净值</v>
      </c>
      <c r="B126" s="3288"/>
      <c r="C126" s="3288"/>
      <c r="D126" s="3277">
        <f ca="1">H111</f>
        <v>595.70000000000005</v>
      </c>
      <c r="E126" s="3278"/>
      <c r="F126" s="3278"/>
      <c r="G126" s="3278"/>
      <c r="H126" s="3278"/>
      <c r="I126" s="3279"/>
      <c r="AA126" s="684"/>
    </row>
    <row r="127" spans="1:27" ht="18.75" customHeight="1">
      <c r="A127" s="3276" t="s">
        <v>1452</v>
      </c>
      <c r="B127" s="3276"/>
      <c r="C127" s="3276"/>
      <c r="D127" s="3282" t="str">
        <f ca="1">NUMBERSTRING(INT(D126*10000),2)&amp;"元整"</f>
        <v>伍佰玖拾伍万柒仟元整</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6" stopIfTrue="1" operator="equal">
      <formula>25</formula>
    </cfRule>
  </conditionalFormatting>
  <conditionalFormatting sqref="C8:D13">
    <cfRule type="cellIs" dxfId="155" priority="5" stopIfTrue="1" operator="equal">
      <formula>15</formula>
    </cfRule>
  </conditionalFormatting>
  <conditionalFormatting sqref="C14:D16">
    <cfRule type="cellIs" dxfId="154" priority="4"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D92" xr:uid="{2403DDF0-9C16-4325-B78B-993779193197}">
      <formula1>"0,5%,10%"</formula1>
    </dataValidation>
    <dataValidation type="list" allowBlank="1" showInputMessage="1" showErrorMessage="1" sqref="H59" xr:uid="{2F3E4AD2-65CF-44F3-BD61-3E28DA890587}">
      <formula1>"非个人房产,个人住宅（满五唯一有凭证）,个人其他（有凭证）,个人其他（无凭证）"</formula1>
    </dataValidation>
    <dataValidation type="list" allowBlank="1" showInputMessage="1" showErrorMessage="1" sqref="E103" xr:uid="{A5323593-8749-4778-97ED-9CC635F3A085}">
      <formula1>"2.估价师知悉的法定优先受偿款,2.估价师知悉的除抵押担保权以外的法定优先受偿款"</formula1>
    </dataValidation>
    <dataValidation type="list" allowBlank="1" showInputMessage="1" showErrorMessage="1" sqref="G77" xr:uid="{3C5830DB-3E45-4547-BA92-B50FD7F30C43}">
      <formula1>"个人住宅,2016年5月1日前购买,2016年5月1日后购买"</formula1>
    </dataValidation>
    <dataValidation type="list" allowBlank="1" showInputMessage="1" showErrorMessage="1" sqref="C1" xr:uid="{DBBC2685-C604-4F34-A9B6-D3C3DE19E6EB}">
      <formula1>项目类型</formula1>
    </dataValidation>
    <dataValidation type="list" allowBlank="1" showInputMessage="1" showErrorMessage="1" sqref="I1" xr:uid="{253621F6-D00B-4C41-97CE-72C4753F1545}">
      <formula1>"项目局部,项目全部,——"</formula1>
    </dataValidation>
    <dataValidation type="list" showInputMessage="1" showErrorMessage="1" sqref="G1" xr:uid="{0EA056AA-8002-4980-B640-22C57FC86B9D}">
      <formula1>"现房,在建,土地,-"</formula1>
    </dataValidation>
    <dataValidation type="list" allowBlank="1" showInputMessage="1" showErrorMessage="1" sqref="C129" xr:uid="{ED462383-D0A0-4591-9EC2-C7B144D990CC}">
      <formula1>"无,有"</formula1>
    </dataValidation>
    <dataValidation type="list" allowBlank="1" showInputMessage="1" showErrorMessage="1" sqref="F116:G116" xr:uid="{765BC1A4-9F13-4051-A010-2D5140A679AB}">
      <formula1>"建筑物价值,在建建筑物价值,建筑物/在建建筑物价值"</formula1>
    </dataValidation>
    <dataValidation type="list" allowBlank="1" showInputMessage="1" showErrorMessage="1" sqref="D116:E116" xr:uid="{5B7747F5-0FB0-4F1F-89DF-B2F3EC6BD5A4}">
      <formula1>"出让国有建设用地使用权价值,划拨国有建设用地使用权价值"</formula1>
    </dataValidation>
    <dataValidation type="list" allowBlank="1" showInputMessage="1" showErrorMessage="1" sqref="C116:C117" xr:uid="{AC6D0682-D0ED-4C01-878F-EC59A8A9071B}">
      <formula1>"土地面积,分摊土地面积,（分摊）土地面积"</formula1>
    </dataValidation>
    <dataValidation type="list" allowBlank="1" showInputMessage="1" showErrorMessage="1" sqref="B116:B117" xr:uid="{0BDCA7A2-A028-4FE0-8EE8-15138A22797C}">
      <formula1>"建筑面积,规划建筑面积,（规划）建筑面积"</formula1>
    </dataValidation>
    <dataValidation type="list" allowBlank="1" showInputMessage="1" showErrorMessage="1" sqref="D36" xr:uid="{5005AB0F-A709-45E6-8A67-432304EBD5EF}">
      <formula1>"同一抵押权人同一抵押物续贷,注销后放款,正常操作"</formula1>
    </dataValidation>
    <dataValidation type="list" allowBlank="1" showInputMessage="1" showErrorMessage="1" sqref="F75" xr:uid="{6C24F738-03F3-47C2-9CA0-988661318834}">
      <formula1>"买卖合同,购房发票"</formula1>
    </dataValidation>
    <dataValidation type="list" allowBlank="1" showInputMessage="1" showErrorMessage="1" sqref="H88" xr:uid="{4A7EC99D-69BD-4C2E-AD4E-6A87E5AACFC3}">
      <formula1>"仅含出让金,出让金+开发费"</formula1>
    </dataValidation>
    <dataValidation type="list" allowBlank="1" showInputMessage="1" showErrorMessage="1" sqref="H91" xr:uid="{7D49F0BC-C122-4740-AF3A-F05291FD3932}">
      <formula1>"企业提供（在右侧录入）,——"</formula1>
    </dataValidation>
    <dataValidation type="list" allowBlank="1" showInputMessage="1" showErrorMessage="1" sqref="C33" xr:uid="{4EA76099-DE51-4C7E-AC37-E3A2508B9D5B}">
      <formula1>"成本比率,收益比率,自定义"</formula1>
    </dataValidation>
    <dataValidation type="list" allowBlank="1" showInputMessage="1" showErrorMessage="1" sqref="F45" xr:uid="{5569056C-6522-42E5-936A-C93CFC4EAD48}">
      <formula1>"100%,70%,56%"</formula1>
    </dataValidation>
    <dataValidation type="list" allowBlank="1" showInputMessage="1" showErrorMessage="1" sqref="D32" xr:uid="{BF0AA502-0473-48AE-B2CB-4D877A7FFCB9}">
      <formula1>"总价,楼面单价"</formula1>
    </dataValidation>
    <dataValidation type="list" allowBlank="1" showInputMessage="1" showErrorMessage="1" sqref="H58" xr:uid="{32DD41EF-16D8-4E2B-95FF-BD3499BC7CCA}">
      <formula1>"转让取得,自行开发建设"</formula1>
    </dataValidation>
    <dataValidation type="list" allowBlank="1" showInputMessage="1" showErrorMessage="1" sqref="H48" xr:uid="{6D00F7B3-A122-4429-A019-134393B76720}">
      <formula1>"情况1,情况2,情况3,情况4"</formula1>
    </dataValidation>
    <dataValidation type="list" allowBlank="1" showInputMessage="1" showErrorMessage="1" sqref="H55:H56" xr:uid="{1E2035D1-8D0D-492E-97BA-765182423408}">
      <formula1>"个人住宅,正常"</formula1>
    </dataValidation>
    <dataValidation type="list" allowBlank="1" showInputMessage="1" showErrorMessage="1" sqref="C4:D4 D33" xr:uid="{A422A6D7-0822-4E23-9C0F-B7720DF03D01}">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A441B-0CAA-48C9-B3BE-B4CE6FF2B780}">
  <sheetPr>
    <tabColor rgb="FFFF0000"/>
  </sheetPr>
  <dimension ref="A1:C8"/>
  <sheetViews>
    <sheetView tabSelected="1" workbookViewId="0">
      <selection activeCell="C2" sqref="C2"/>
    </sheetView>
  </sheetViews>
  <sheetFormatPr defaultRowHeight="14.4"/>
  <sheetData>
    <row r="1" spans="1:3" ht="15" thickBot="1">
      <c r="A1" s="1404" t="s">
        <v>3542</v>
      </c>
      <c r="B1" s="1404" t="s">
        <v>3543</v>
      </c>
      <c r="C1" s="1404" t="s">
        <v>3544</v>
      </c>
    </row>
    <row r="2" spans="1:3" ht="15.6" thickTop="1" thickBot="1">
      <c r="A2" s="3517">
        <v>534</v>
      </c>
      <c r="B2" s="3518">
        <f>A2-C2</f>
        <v>0.20000000000004547</v>
      </c>
      <c r="C2" s="3518">
        <f>ROUND(A2/$A$7*$C$7,2)</f>
        <v>533.79999999999995</v>
      </c>
    </row>
    <row r="3" spans="1:3" ht="15.6" thickTop="1" thickBot="1">
      <c r="A3" s="3519">
        <v>508</v>
      </c>
      <c r="B3" s="3518">
        <f t="shared" ref="B3:B6" si="0">A3-C3</f>
        <v>0.18999999999999773</v>
      </c>
      <c r="C3" s="3518">
        <f>ROUND(A3/$A$7*$C$7,2)</f>
        <v>507.81</v>
      </c>
    </row>
    <row r="4" spans="1:3" ht="15.6" thickTop="1" thickBot="1">
      <c r="A4" s="3519">
        <v>582</v>
      </c>
      <c r="B4" s="3518">
        <f t="shared" si="0"/>
        <v>0.22000000000002728</v>
      </c>
      <c r="C4" s="3518">
        <f>ROUND(A4/$A$7*$C$7,2)</f>
        <v>581.78</v>
      </c>
    </row>
    <row r="5" spans="1:3" ht="15.6" thickTop="1" thickBot="1">
      <c r="A5" s="3519">
        <v>400</v>
      </c>
      <c r="B5" s="3518">
        <f t="shared" si="0"/>
        <v>0.14999999999997726</v>
      </c>
      <c r="C5" s="3518">
        <f>ROUND(A5/$A$7*$C$7,2)</f>
        <v>399.85</v>
      </c>
    </row>
    <row r="6" spans="1:3" ht="15" thickTop="1">
      <c r="A6" s="3519">
        <v>596</v>
      </c>
      <c r="B6" s="3518">
        <f t="shared" si="0"/>
        <v>0.24000000000012278</v>
      </c>
      <c r="C6" s="3518">
        <f>C7-C2-C3-C4-C5</f>
        <v>595.75999999999988</v>
      </c>
    </row>
    <row r="7" spans="1:3" ht="15" thickBot="1">
      <c r="A7" s="3520">
        <v>2620</v>
      </c>
      <c r="B7" s="3521">
        <v>1</v>
      </c>
      <c r="C7" s="3521">
        <v>2619</v>
      </c>
    </row>
    <row r="8" spans="1:3" ht="15" thickTop="1"/>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3" zoomScaleNormal="100" zoomScaleSheetLayoutView="100" zoomScalePageLayoutView="80" workbookViewId="0">
      <selection activeCell="C14" sqref="C14:C1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v>1511</v>
      </c>
      <c r="D1" s="646"/>
      <c r="E1" s="646"/>
      <c r="F1" s="1620" t="s">
        <v>1263</v>
      </c>
      <c r="G1" s="1452" t="s">
        <v>3393</v>
      </c>
      <c r="H1" s="1620" t="str">
        <f>IF(G1="现房","——","估价对象范围")</f>
        <v>——</v>
      </c>
      <c r="I1" s="1621"/>
    </row>
    <row r="2" spans="1:12" ht="21.75" customHeight="1" thickBot="1">
      <c r="A2" s="3328" t="str">
        <f>项目基本情况!S2</f>
        <v>北京市朝阳区东三环南路98号1幢房地产</v>
      </c>
      <c r="B2" s="3329"/>
      <c r="C2" s="3329"/>
      <c r="D2" s="3329"/>
      <c r="E2" s="3329"/>
      <c r="F2" s="3329"/>
      <c r="G2" s="3329"/>
      <c r="H2" s="3329"/>
      <c r="I2" s="3330"/>
    </row>
    <row r="3" spans="1:12" ht="13.2">
      <c r="A3" s="3332" t="s">
        <v>1264</v>
      </c>
      <c r="B3" s="3333"/>
      <c r="C3" s="3333"/>
      <c r="D3" s="3333"/>
      <c r="E3" s="3333"/>
      <c r="F3" s="3333"/>
      <c r="G3" s="3333"/>
      <c r="H3" s="3333"/>
      <c r="I3" s="3333"/>
    </row>
    <row r="4" spans="1:12" ht="14.4">
      <c r="A4" s="1623" t="s">
        <v>1265</v>
      </c>
      <c r="B4" s="1624" t="s">
        <v>1266</v>
      </c>
      <c r="C4" s="1625" t="s">
        <v>3509</v>
      </c>
      <c r="D4" s="1625" t="s">
        <v>3444</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6" t="s">
        <v>1268</v>
      </c>
      <c r="B5" s="3331">
        <v>25</v>
      </c>
      <c r="C5" s="3334"/>
      <c r="D5" s="3322"/>
      <c r="E5" s="123" t="s">
        <v>1269</v>
      </c>
      <c r="F5" s="1626"/>
      <c r="G5" s="1626"/>
      <c r="H5" s="1626"/>
      <c r="I5" s="1280"/>
    </row>
    <row r="6" spans="1:12" ht="13.2">
      <c r="A6" s="3276"/>
      <c r="B6" s="3331"/>
      <c r="C6" s="3336"/>
      <c r="D6" s="3322"/>
      <c r="E6" s="123" t="s">
        <v>1270</v>
      </c>
      <c r="F6" s="1626"/>
      <c r="G6" s="1626"/>
      <c r="H6" s="1626"/>
      <c r="I6" s="1280"/>
    </row>
    <row r="7" spans="1:12" ht="13.2">
      <c r="A7" s="3276"/>
      <c r="B7" s="3331"/>
      <c r="C7" s="3335"/>
      <c r="D7" s="3322"/>
      <c r="E7" s="123" t="s">
        <v>1271</v>
      </c>
      <c r="F7" s="1626"/>
      <c r="G7" s="1626"/>
      <c r="H7" s="1626"/>
      <c r="I7" s="1280"/>
    </row>
    <row r="8" spans="1:12" ht="13.2">
      <c r="A8" s="3276" t="s">
        <v>1272</v>
      </c>
      <c r="B8" s="3331">
        <v>15</v>
      </c>
      <c r="C8" s="3334"/>
      <c r="D8" s="3322"/>
      <c r="E8" s="123" t="s">
        <v>1273</v>
      </c>
      <c r="F8" s="1626"/>
      <c r="G8" s="1626"/>
      <c r="H8" s="1626"/>
      <c r="I8" s="1280"/>
    </row>
    <row r="9" spans="1:12" ht="13.2">
      <c r="A9" s="3276"/>
      <c r="B9" s="3331"/>
      <c r="C9" s="3335"/>
      <c r="D9" s="3322"/>
      <c r="E9" s="123" t="s">
        <v>1274</v>
      </c>
      <c r="F9" s="1626"/>
      <c r="G9" s="1626"/>
      <c r="H9" s="1626"/>
      <c r="I9" s="1280"/>
    </row>
    <row r="10" spans="1:12" ht="13.2">
      <c r="A10" s="3276" t="s">
        <v>1275</v>
      </c>
      <c r="B10" s="3331">
        <v>15</v>
      </c>
      <c r="C10" s="3334"/>
      <c r="D10" s="3322"/>
      <c r="E10" s="123" t="s">
        <v>1276</v>
      </c>
      <c r="F10" s="1626"/>
      <c r="G10" s="1626"/>
      <c r="H10" s="1626"/>
      <c r="I10" s="1280"/>
    </row>
    <row r="11" spans="1:12" ht="13.2">
      <c r="A11" s="3276"/>
      <c r="B11" s="3331"/>
      <c r="C11" s="3335"/>
      <c r="D11" s="3322"/>
      <c r="E11" s="123" t="s">
        <v>1277</v>
      </c>
      <c r="F11" s="1626"/>
      <c r="G11" s="1626"/>
      <c r="H11" s="1626"/>
      <c r="I11" s="1280"/>
    </row>
    <row r="12" spans="1:12" ht="13.2">
      <c r="A12" s="3276" t="s">
        <v>1278</v>
      </c>
      <c r="B12" s="3331">
        <v>15</v>
      </c>
      <c r="C12" s="3334"/>
      <c r="D12" s="3322"/>
      <c r="E12" s="123" t="s">
        <v>1279</v>
      </c>
      <c r="F12" s="1626"/>
      <c r="G12" s="1626"/>
      <c r="H12" s="1626"/>
      <c r="I12" s="1280"/>
    </row>
    <row r="13" spans="1:12" ht="13.2">
      <c r="A13" s="3276"/>
      <c r="B13" s="3331"/>
      <c r="C13" s="3335"/>
      <c r="D13" s="3322"/>
      <c r="E13" s="123" t="s">
        <v>1280</v>
      </c>
      <c r="F13" s="1626"/>
      <c r="G13" s="1626"/>
      <c r="H13" s="1626"/>
      <c r="I13" s="1280"/>
    </row>
    <row r="14" spans="1:12" ht="13.2">
      <c r="A14" s="3276" t="s">
        <v>1281</v>
      </c>
      <c r="B14" s="3331">
        <v>30</v>
      </c>
      <c r="C14" s="3334">
        <v>7</v>
      </c>
      <c r="D14" s="3322">
        <v>3</v>
      </c>
      <c r="E14" s="123" t="s">
        <v>1282</v>
      </c>
      <c r="F14" s="1626"/>
      <c r="G14" s="1626"/>
      <c r="H14" s="1626"/>
      <c r="I14" s="1280"/>
    </row>
    <row r="15" spans="1:12" ht="13.2">
      <c r="A15" s="3276"/>
      <c r="B15" s="3331"/>
      <c r="C15" s="3336"/>
      <c r="D15" s="3322"/>
      <c r="E15" s="123" t="s">
        <v>1283</v>
      </c>
      <c r="F15" s="1626"/>
      <c r="G15" s="1626"/>
      <c r="H15" s="1626"/>
      <c r="I15" s="1280"/>
    </row>
    <row r="16" spans="1:12" ht="13.2">
      <c r="A16" s="3276"/>
      <c r="B16" s="3331"/>
      <c r="C16" s="3335"/>
      <c r="D16" s="3322"/>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353" t="s">
        <v>2128</v>
      </c>
      <c r="F18" s="3354"/>
      <c r="G18" s="3354"/>
      <c r="H18" s="3354"/>
      <c r="I18" s="3354"/>
      <c r="K18" s="294" t="s">
        <v>1289</v>
      </c>
      <c r="L18" s="294">
        <f>IF(C1="",'数据-汇总表'!E3,SUMIF(项目类型,C1,'数据-汇总表'!E17:E26)+SUMIF(项目类型,C1,'数据-汇总表'!I17:I26))</f>
        <v>179.5</v>
      </c>
      <c r="M18" s="294">
        <f>IF(C1="",'数据-汇总表'!E3,SUMIF(项目类型,C1,'数据-汇总表'!E17:E26))</f>
        <v>179.5</v>
      </c>
    </row>
    <row r="19" spans="1:36" ht="14.4">
      <c r="A19" s="1629" t="s">
        <v>1290</v>
      </c>
      <c r="B19" s="1630" t="s">
        <v>1291</v>
      </c>
      <c r="C19" s="126">
        <f ca="1">SUMIF(INDIRECT("'"&amp;C4&amp;"'"&amp;"!A:A"),结果表!B19,INDIRECT("'"&amp;C4&amp;"'"&amp;"!B:B"))</f>
        <v>571.97680000000003</v>
      </c>
      <c r="D19" s="127">
        <f ca="1">SUMIF(INDIRECT("'"&amp;D4&amp;"'"&amp;"!A:A"),结果表!B19,INDIRECT("'"&amp;D4&amp;"'"&amp;"!B:B"))</f>
        <v>357.4246</v>
      </c>
      <c r="E19" s="1629" t="s">
        <v>1292</v>
      </c>
      <c r="F19" s="1630" t="s">
        <v>1291</v>
      </c>
      <c r="G19" s="128">
        <f ca="1">ROUND(C19*$C$18+D19*$D$18,0)</f>
        <v>508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31865</v>
      </c>
      <c r="D20" s="130">
        <f ca="1">SUMIF(INDIRECT("'"&amp;D4&amp;"'"&amp;"!A:A"),结果表!B20,INDIRECT("'"&amp;D4&amp;"'"&amp;"!B:B"))</f>
        <v>19912</v>
      </c>
      <c r="E20" s="1632"/>
      <c r="F20" s="43" t="s">
        <v>1295</v>
      </c>
      <c r="G20" s="131">
        <f ca="1">ROUND(C20*$C$18+D20*$D$18,0)</f>
        <v>28279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0.60027261693794998</v>
      </c>
      <c r="E22" s="121"/>
      <c r="F22" s="121"/>
      <c r="G22" s="121"/>
      <c r="H22" s="121"/>
      <c r="I22" s="121"/>
    </row>
    <row r="23" spans="1:36" ht="13.8" thickBot="1">
      <c r="A23" s="646"/>
      <c r="B23" s="646"/>
      <c r="C23" s="646"/>
      <c r="D23" s="646"/>
      <c r="E23" s="121"/>
      <c r="F23" s="121"/>
      <c r="G23" s="3164" t="s">
        <v>3528</v>
      </c>
      <c r="H23" s="121">
        <f ca="1">N59</f>
        <v>2619</v>
      </c>
      <c r="I23" s="121"/>
    </row>
    <row r="24" spans="1:36" ht="14.4">
      <c r="A24" s="3346" t="s">
        <v>1299</v>
      </c>
      <c r="B24" s="1630" t="s">
        <v>1291</v>
      </c>
      <c r="C24" s="128">
        <f>IF(B30=0,0,D30)</f>
        <v>0</v>
      </c>
      <c r="D24" s="1636"/>
      <c r="E24" s="121"/>
      <c r="F24" s="121"/>
      <c r="G24" s="3164" t="s">
        <v>3529</v>
      </c>
      <c r="H24" s="121">
        <f ca="1">N61</f>
        <v>29323</v>
      </c>
      <c r="I24" s="121"/>
    </row>
    <row r="25" spans="1:36" ht="14.4">
      <c r="A25" s="334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 customHeight="1" thickTop="1" thickBot="1">
      <c r="A31" s="2127"/>
      <c r="B31" s="2128"/>
      <c r="C31" s="2128"/>
      <c r="D31" s="2128"/>
      <c r="E31" s="2128"/>
      <c r="F31" s="2128"/>
      <c r="G31" s="2128"/>
      <c r="H31" s="2128"/>
      <c r="I31" s="2129" t="s">
        <v>2130</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28279</v>
      </c>
      <c r="D32" s="1640" t="s">
        <v>3511</v>
      </c>
      <c r="E32" s="121"/>
      <c r="F32" s="121"/>
      <c r="G32" s="121"/>
      <c r="H32" s="121"/>
      <c r="I32" s="121"/>
    </row>
    <row r="33" spans="1:15" ht="14.4">
      <c r="A33" s="740" t="s">
        <v>1306</v>
      </c>
      <c r="B33" s="123"/>
      <c r="C33" s="1641" t="s">
        <v>3512</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23" t="s">
        <v>1312</v>
      </c>
      <c r="B36" s="1651" t="s">
        <v>1313</v>
      </c>
      <c r="C36" s="137"/>
      <c r="D36" s="1652"/>
      <c r="E36" s="1566"/>
      <c r="F36" s="1653"/>
      <c r="G36" s="121"/>
      <c r="H36" s="121"/>
      <c r="I36" s="121"/>
    </row>
    <row r="37" spans="1:15" ht="15" thickBot="1">
      <c r="A37" s="3324"/>
      <c r="B37" s="1554" t="s">
        <v>1314</v>
      </c>
      <c r="C37" s="139"/>
      <c r="D37" s="1071"/>
      <c r="E37" s="1071"/>
      <c r="F37" s="1653"/>
      <c r="G37" s="121"/>
      <c r="H37" s="121"/>
      <c r="I37" s="121"/>
    </row>
    <row r="38" spans="1:15" ht="15" thickBot="1">
      <c r="A38" s="3325"/>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3" t="s">
        <v>1326</v>
      </c>
      <c r="B45" s="3344"/>
      <c r="C45" s="3345"/>
      <c r="D45" s="3159">
        <f ca="1">典型户型修正!S22</f>
        <v>2620</v>
      </c>
      <c r="E45" s="148" t="s">
        <v>1327</v>
      </c>
      <c r="F45" s="149">
        <v>1</v>
      </c>
      <c r="G45" s="150" t="s">
        <v>1328</v>
      </c>
      <c r="H45" s="121"/>
      <c r="I45" s="121"/>
      <c r="J45" s="3262" t="s">
        <v>1329</v>
      </c>
      <c r="K45" s="3262"/>
      <c r="L45" s="3262"/>
      <c r="M45" s="3262"/>
      <c r="N45" s="3262"/>
      <c r="O45" s="3262"/>
    </row>
    <row r="46" spans="1:15" ht="14.25" customHeight="1">
      <c r="A46" s="3340" t="s">
        <v>1330</v>
      </c>
      <c r="B46" s="3341"/>
      <c r="C46" s="3341"/>
      <c r="D46" s="3341"/>
      <c r="E46" s="3341"/>
      <c r="F46" s="3341"/>
      <c r="G46" s="3342"/>
      <c r="H46" s="1667"/>
      <c r="I46" s="151"/>
      <c r="J46" s="2309">
        <v>1</v>
      </c>
      <c r="K46" s="3263" t="s">
        <v>1331</v>
      </c>
      <c r="L46" s="3263"/>
      <c r="M46" s="3264"/>
      <c r="N46" s="3264"/>
      <c r="O46" s="3264"/>
    </row>
    <row r="47" spans="1:15" ht="12" customHeight="1">
      <c r="A47" s="152" t="s">
        <v>1332</v>
      </c>
      <c r="B47" s="153"/>
      <c r="C47" s="154"/>
      <c r="D47" s="1024" t="s">
        <v>1333</v>
      </c>
      <c r="E47" s="294" t="s">
        <v>1334</v>
      </c>
      <c r="F47" s="155" t="s">
        <v>1335</v>
      </c>
      <c r="G47" s="2331" t="s">
        <v>1336</v>
      </c>
      <c r="H47" s="2332"/>
      <c r="I47" s="151"/>
      <c r="J47" s="2309">
        <v>2</v>
      </c>
      <c r="K47" s="3263" t="s">
        <v>1337</v>
      </c>
      <c r="L47" s="3263"/>
      <c r="M47" s="3265">
        <f>'数据-取费表'!B2</f>
        <v>45649</v>
      </c>
      <c r="N47" s="3265"/>
      <c r="O47" s="3265"/>
    </row>
    <row r="48" spans="1:15" ht="39.6">
      <c r="A48" s="3326" t="s">
        <v>1338</v>
      </c>
      <c r="B48" s="3327"/>
      <c r="C48" s="3327"/>
      <c r="D48" s="12">
        <f ca="1">IF(H48="情况1",0,IF(H48="情况2",D52,IF(H48="情况3",D53,IF(H48="情况4",D54))))</f>
        <v>0</v>
      </c>
      <c r="E48" s="1255" t="str">
        <f>IF(H48="情况4","(销售额-原购置价)×税（费）率","销售额×税（费）率")</f>
        <v>(销售额-原购置价)×税（费）率</v>
      </c>
      <c r="F48" s="2333">
        <f>IF(H48="情况1","免征",'数据-取费表'!B41)</f>
        <v>5.6000000000000001E-2</v>
      </c>
      <c r="G48" s="2334" t="s">
        <v>1339</v>
      </c>
      <c r="H48" s="2335" t="s">
        <v>3523</v>
      </c>
      <c r="I48" s="1667"/>
      <c r="J48" s="2309">
        <v>3</v>
      </c>
      <c r="K48" s="3263" t="s">
        <v>1340</v>
      </c>
      <c r="L48" s="3263"/>
      <c r="M48" s="3266">
        <f ca="1">典型户型修正!S22</f>
        <v>2620</v>
      </c>
      <c r="N48" s="3266"/>
      <c r="O48" s="3266"/>
    </row>
    <row r="49" spans="1:35" ht="25.5" customHeight="1">
      <c r="A49" s="2151" t="s">
        <v>1341</v>
      </c>
      <c r="B49" s="3312" t="s">
        <v>1342</v>
      </c>
      <c r="C49" s="3312"/>
      <c r="D49" s="1477">
        <v>0</v>
      </c>
      <c r="E49" s="316" t="s">
        <v>1343</v>
      </c>
      <c r="F49" s="2232" t="s">
        <v>28</v>
      </c>
      <c r="G49" s="3295"/>
      <c r="H49" s="2133" t="s">
        <v>2131</v>
      </c>
      <c r="I49" s="2134"/>
      <c r="J49" s="2309">
        <v>4</v>
      </c>
      <c r="K49" s="3263" t="str">
        <f>IF(项目基本情况!E8="房地产抵押价值","房地产抵押价值","抵押担保权已注销时的房地产抵押价值")</f>
        <v>房地产抵押价值</v>
      </c>
      <c r="L49" s="3263"/>
      <c r="M49" s="3267">
        <f ca="1">典型户型修正!S22</f>
        <v>2620</v>
      </c>
      <c r="N49" s="3267"/>
      <c r="O49" s="3267"/>
    </row>
    <row r="50" spans="1:35" ht="25.5" customHeight="1">
      <c r="A50" s="2336"/>
      <c r="B50" s="3312" t="s">
        <v>1344</v>
      </c>
      <c r="C50" s="3312"/>
      <c r="D50" s="2188"/>
      <c r="E50" s="323"/>
      <c r="F50" s="2232"/>
      <c r="G50" s="3296"/>
      <c r="H50" s="2135" t="s">
        <v>2132</v>
      </c>
      <c r="I50" s="2134"/>
      <c r="J50" s="3262" t="s">
        <v>1345</v>
      </c>
      <c r="K50" s="3262"/>
      <c r="L50" s="3262"/>
      <c r="M50" s="3262"/>
      <c r="N50" s="3262"/>
      <c r="O50" s="3262"/>
    </row>
    <row r="51" spans="1:35" ht="20.399999999999999" customHeight="1">
      <c r="A51" s="2337"/>
      <c r="B51" s="3312" t="s">
        <v>1346</v>
      </c>
      <c r="C51" s="3312"/>
      <c r="D51" s="1024"/>
      <c r="E51" s="319"/>
      <c r="F51" s="2232"/>
      <c r="G51" s="3297"/>
      <c r="H51" s="2135" t="s">
        <v>2133</v>
      </c>
      <c r="I51" s="2134"/>
      <c r="J51" s="2310" t="s">
        <v>1347</v>
      </c>
      <c r="K51" s="3263" t="s">
        <v>1348</v>
      </c>
      <c r="L51" s="3263"/>
      <c r="M51" s="2310" t="s">
        <v>1349</v>
      </c>
      <c r="N51" s="2310" t="s">
        <v>1350</v>
      </c>
      <c r="O51" s="2310" t="s">
        <v>1351</v>
      </c>
    </row>
    <row r="52" spans="1:35" ht="24" customHeight="1">
      <c r="A52" s="2152" t="s">
        <v>1352</v>
      </c>
      <c r="B52" s="3312" t="s">
        <v>1353</v>
      </c>
      <c r="C52" s="3312"/>
      <c r="D52" s="1024">
        <f ca="1">ROUND(D45*'数据-取费表'!B41/(1+'数据-取费表'!C42),0)</f>
        <v>140</v>
      </c>
      <c r="E52" s="1255" t="s">
        <v>1354</v>
      </c>
      <c r="F52" s="2338">
        <f>'数据-取费表'!B41</f>
        <v>5.6000000000000001E-2</v>
      </c>
      <c r="G52" s="2339"/>
      <c r="H52" s="2329"/>
      <c r="I52" s="1668"/>
      <c r="J52" s="2309">
        <v>1</v>
      </c>
      <c r="K52" s="3289" t="s">
        <v>1355</v>
      </c>
      <c r="L52" s="3289"/>
      <c r="M52" s="2311">
        <f ca="1">D48</f>
        <v>0</v>
      </c>
      <c r="N52" s="2309" t="str">
        <f>E48</f>
        <v>(销售额-原购置价)×税（费）率</v>
      </c>
      <c r="O52" s="2312">
        <f>F48</f>
        <v>5.6000000000000001E-2</v>
      </c>
    </row>
    <row r="53" spans="1:35" ht="12" customHeight="1">
      <c r="A53" s="2152" t="s">
        <v>1356</v>
      </c>
      <c r="B53" s="3313" t="s">
        <v>2288</v>
      </c>
      <c r="C53" s="3314"/>
      <c r="D53" s="1024">
        <f ca="1">ROUND(D45*'数据-取费表'!B41/(1+'数据-取费表'!C42),0)</f>
        <v>140</v>
      </c>
      <c r="E53" s="1255" t="s">
        <v>1354</v>
      </c>
      <c r="F53" s="2338">
        <f>'数据-取费表'!B41</f>
        <v>5.6000000000000001E-2</v>
      </c>
      <c r="G53" s="2339"/>
      <c r="H53" s="2329"/>
      <c r="I53" s="1668"/>
      <c r="J53" s="2309">
        <v>2</v>
      </c>
      <c r="K53" s="3289" t="s">
        <v>1357</v>
      </c>
      <c r="L53" s="3289"/>
      <c r="M53" s="2311">
        <f t="shared" ref="M53:O54" ca="1" si="0">D55</f>
        <v>1</v>
      </c>
      <c r="N53" s="2309" t="str">
        <f t="shared" si="0"/>
        <v>销售额×税（费）率</v>
      </c>
      <c r="O53" s="2312">
        <f t="shared" si="0"/>
        <v>5.0000000000000001E-4</v>
      </c>
    </row>
    <row r="54" spans="1:35" ht="12" customHeight="1">
      <c r="A54" s="2152" t="s">
        <v>1358</v>
      </c>
      <c r="B54" s="3313" t="s">
        <v>2289</v>
      </c>
      <c r="C54" s="3314"/>
      <c r="D54" s="1024">
        <f ca="1">C68</f>
        <v>0</v>
      </c>
      <c r="E54" s="319" t="s">
        <v>1359</v>
      </c>
      <c r="F54" s="2338">
        <f>'数据-取费表'!B41</f>
        <v>5.6000000000000001E-2</v>
      </c>
      <c r="G54" s="2339"/>
      <c r="H54" s="2340"/>
      <c r="I54" s="1668"/>
      <c r="J54" s="2309">
        <v>3</v>
      </c>
      <c r="K54" s="3289" t="s">
        <v>1360</v>
      </c>
      <c r="L54" s="3289"/>
      <c r="M54" s="2311">
        <f t="shared" ca="1" si="0"/>
        <v>0</v>
      </c>
      <c r="N54" s="2309" t="str">
        <f t="shared" si="0"/>
        <v>增值额×税（费）率</v>
      </c>
      <c r="O54" s="2313" t="str">
        <f t="shared" si="0"/>
        <v>——</v>
      </c>
    </row>
    <row r="55" spans="1:35" ht="24" customHeight="1">
      <c r="A55" s="3349" t="s">
        <v>1361</v>
      </c>
      <c r="B55" s="3327"/>
      <c r="C55" s="3327"/>
      <c r="D55" s="12">
        <f ca="1">IF(H55="个人住宅",0,ROUND(D45*I55,0))</f>
        <v>1</v>
      </c>
      <c r="E55" s="1255" t="s">
        <v>1362</v>
      </c>
      <c r="F55" s="2338">
        <f>IF(H55="正常",I55,"免征")</f>
        <v>5.0000000000000001E-4</v>
      </c>
      <c r="G55" s="2339"/>
      <c r="H55" s="2335" t="s">
        <v>3450</v>
      </c>
      <c r="I55" s="157">
        <f>'数据-取费表'!B49</f>
        <v>5.0000000000000001E-4</v>
      </c>
      <c r="J55" s="2309" t="str">
        <f>IF(H59="非个人房产","",4)</f>
        <v/>
      </c>
      <c r="K55" s="3289" t="str">
        <f>IF(H59="非个人房产","——","个人所得税")</f>
        <v>——</v>
      </c>
      <c r="L55" s="3289"/>
      <c r="M55" s="2314" t="str">
        <f>D59</f>
        <v>——</v>
      </c>
      <c r="N55" s="1882" t="str">
        <f>E59</f>
        <v>——</v>
      </c>
      <c r="O55" s="2315" t="str">
        <f>F59</f>
        <v>——</v>
      </c>
    </row>
    <row r="56" spans="1:35" ht="25.2">
      <c r="A56" s="3349" t="s">
        <v>1363</v>
      </c>
      <c r="B56" s="3327"/>
      <c r="C56" s="3327"/>
      <c r="D56" s="12">
        <f ca="1">IF(H56="个人住宅",D57,D58)</f>
        <v>0</v>
      </c>
      <c r="E56" s="1255" t="s">
        <v>1364</v>
      </c>
      <c r="F56" s="2338" t="str">
        <f>IF(H56="正常",F58,"免征")</f>
        <v>——</v>
      </c>
      <c r="G56" s="2341" t="s">
        <v>1365</v>
      </c>
      <c r="H56" s="2342" t="s">
        <v>3450</v>
      </c>
      <c r="I56" s="1669"/>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3.2">
      <c r="A57" s="2152" t="s">
        <v>1341</v>
      </c>
      <c r="B57" s="3313" t="s">
        <v>1366</v>
      </c>
      <c r="C57" s="3314"/>
      <c r="D57" s="1477">
        <v>0</v>
      </c>
      <c r="E57" s="316" t="s">
        <v>1343</v>
      </c>
      <c r="F57" s="294"/>
      <c r="G57" s="2339"/>
      <c r="H57" s="2343"/>
      <c r="I57" s="1669"/>
      <c r="J57" s="3289">
        <f>IF(AND(J55="",J56=""),4,IF(项目基本情况!K6="上海银行",结果表!J56+1,结果表!J55+1))</f>
        <v>4</v>
      </c>
      <c r="K57" s="3289" t="s">
        <v>1367</v>
      </c>
      <c r="L57" s="2316" t="s">
        <v>1368</v>
      </c>
      <c r="M57" s="2317"/>
      <c r="N57" s="2318">
        <f ca="1">SUMIF(M52:M56,"&lt;9e307")</f>
        <v>1</v>
      </c>
      <c r="O57" s="2319"/>
      <c r="P57" s="2462">
        <f ca="1">N57/M49</f>
        <v>3.816793893129771E-4</v>
      </c>
    </row>
    <row r="58" spans="1:35" ht="25.2">
      <c r="A58" s="2152" t="s">
        <v>1352</v>
      </c>
      <c r="B58" s="3313" t="s">
        <v>1369</v>
      </c>
      <c r="C58" s="3312"/>
      <c r="D58" s="12">
        <f ca="1">IF(H58="转让取得",C81,C97)</f>
        <v>0</v>
      </c>
      <c r="E58" s="1255" t="s">
        <v>1364</v>
      </c>
      <c r="F58" s="294" t="s">
        <v>28</v>
      </c>
      <c r="G58" s="2339"/>
      <c r="H58" s="2342" t="s">
        <v>3524</v>
      </c>
      <c r="I58" s="1669"/>
      <c r="J58" s="3289"/>
      <c r="K58" s="3289"/>
      <c r="L58" s="2316" t="s">
        <v>1370</v>
      </c>
      <c r="M58" s="2320"/>
      <c r="N58" s="2321" t="str">
        <f ca="1">NUMBERSTRING(INT(N57*10000),2)&amp;"元整"</f>
        <v>壹万元整</v>
      </c>
      <c r="O58" s="2322"/>
    </row>
    <row r="59" spans="1:35" ht="24.6" thickBot="1">
      <c r="A59" s="3293" t="s">
        <v>1371</v>
      </c>
      <c r="B59" s="3294"/>
      <c r="C59" s="329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3525</v>
      </c>
      <c r="I59" s="2136" t="s">
        <v>2134</v>
      </c>
      <c r="J59" s="3291">
        <f>J57+1</f>
        <v>5</v>
      </c>
      <c r="K59" s="3289" t="s">
        <v>1372</v>
      </c>
      <c r="L59" s="2309" t="s">
        <v>1368</v>
      </c>
      <c r="M59" s="2323"/>
      <c r="N59" s="2324">
        <f ca="1">M49-N57</f>
        <v>2619</v>
      </c>
      <c r="O59" s="2325"/>
    </row>
    <row r="60" spans="1:35" ht="12" customHeight="1">
      <c r="A60" s="1670"/>
      <c r="B60" s="646"/>
      <c r="C60" s="646"/>
      <c r="D60" s="646"/>
      <c r="E60" s="1465"/>
      <c r="F60" s="1669"/>
      <c r="G60" s="1669"/>
      <c r="H60" s="151"/>
      <c r="I60" s="121"/>
      <c r="J60" s="3292"/>
      <c r="K60" s="3289"/>
      <c r="L60" s="2316" t="s">
        <v>1370</v>
      </c>
      <c r="M60" s="2320"/>
      <c r="N60" s="2321" t="str">
        <f ca="1">NUMBERSTRING(INT(N59*10000),2)&amp;"元整"</f>
        <v>贰仟陆佰壹拾玖万元整</v>
      </c>
      <c r="O60" s="2322"/>
    </row>
    <row r="61" spans="1:35" ht="13.8" thickBot="1">
      <c r="A61" s="3348" t="s">
        <v>1373</v>
      </c>
      <c r="B61" s="3348"/>
      <c r="C61" s="3348"/>
      <c r="D61" s="3348"/>
      <c r="E61" s="3348"/>
      <c r="F61" s="1669"/>
      <c r="G61" s="1669"/>
      <c r="H61" s="151"/>
      <c r="I61" s="121"/>
      <c r="J61" s="2309">
        <f>J59+1</f>
        <v>6</v>
      </c>
      <c r="K61" s="3289" t="s">
        <v>1374</v>
      </c>
      <c r="L61" s="3289"/>
      <c r="M61" s="2326"/>
      <c r="N61" s="3165">
        <f ca="1">ROUND(N59*10000/面积清单!H9,0)</f>
        <v>29323</v>
      </c>
      <c r="O61" s="2327"/>
    </row>
    <row r="62" spans="1:35" ht="13.2">
      <c r="A62" s="3308" t="s">
        <v>1375</v>
      </c>
      <c r="B62" s="3309"/>
      <c r="C62" s="1864"/>
      <c r="D62" s="1864" t="s">
        <v>1376</v>
      </c>
      <c r="E62" s="158" t="s">
        <v>1377</v>
      </c>
      <c r="F62" s="1669"/>
      <c r="G62" s="1669"/>
      <c r="H62" s="151"/>
      <c r="I62" s="121"/>
    </row>
    <row r="63" spans="1:35" ht="13.2">
      <c r="A63" s="165" t="s">
        <v>330</v>
      </c>
      <c r="B63" s="159" t="s">
        <v>1378</v>
      </c>
      <c r="C63" s="2348">
        <f ca="1">ROUND((C64+C65)/(1+'数据-取费表'!C42),0)</f>
        <v>2495</v>
      </c>
      <c r="D63" s="159"/>
      <c r="E63" s="160"/>
      <c r="F63" s="1669"/>
      <c r="G63" s="1669"/>
      <c r="H63" s="151"/>
      <c r="I63" s="121"/>
      <c r="J63" s="3272" t="s">
        <v>1379</v>
      </c>
      <c r="K63" s="1245" t="s">
        <v>1380</v>
      </c>
      <c r="L63" s="1245">
        <f ca="1">IF(M49&gt;10000,M49*0.5%,IF(AND(M49&gt;1000,M49&lt;=10000),M49*1%,IF(AND(M49&gt;100,M49&lt;=1000),M49*3%,IF(AND(M49&gt;10,M49&lt;=100),M49*5%,M49*8%))))</f>
        <v>26.2</v>
      </c>
      <c r="M63" s="294">
        <f ca="1">ROUND(L63,1)</f>
        <v>26.2</v>
      </c>
      <c r="N63" s="2328"/>
      <c r="Z63" s="1622"/>
      <c r="AI63" s="1560"/>
    </row>
    <row r="64" spans="1:35" ht="14.25" customHeight="1">
      <c r="A64" s="161" t="s">
        <v>325</v>
      </c>
      <c r="B64" s="162" t="s">
        <v>1381</v>
      </c>
      <c r="C64" s="2349">
        <f ca="1">D45</f>
        <v>2620</v>
      </c>
      <c r="D64" s="162" t="s">
        <v>26</v>
      </c>
      <c r="E64" s="164"/>
      <c r="F64" s="1669"/>
      <c r="G64" s="1669"/>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13.1</v>
      </c>
      <c r="M64" s="294">
        <f t="shared" ref="M64:M65" ca="1" si="1">ROUND(L64,1)</f>
        <v>13.1</v>
      </c>
      <c r="N64" s="2329" t="s">
        <v>1383</v>
      </c>
      <c r="Z64" s="1622"/>
      <c r="AI64" s="1560"/>
    </row>
    <row r="65" spans="1:35" ht="14.25" customHeight="1">
      <c r="A65" s="161" t="s">
        <v>326</v>
      </c>
      <c r="B65" s="162" t="s">
        <v>1384</v>
      </c>
      <c r="C65" s="2350"/>
      <c r="D65" s="162"/>
      <c r="E65" s="164"/>
      <c r="F65" s="1669"/>
      <c r="G65" s="1669"/>
      <c r="H65" s="151"/>
      <c r="I65" s="121"/>
      <c r="J65" s="3272"/>
      <c r="K65" s="1245" t="s">
        <v>1385</v>
      </c>
      <c r="L65" s="1245">
        <f ca="1">IF(M49&gt;1000,M49*0.1%,IF(AND(M49&gt;500,M49&lt;=1000),M49*0.5%,IF(AND(M49&gt;50,M49&lt;=500),M49*1%,IF(AND(M49&gt;1,M49&lt;=50),M49*1.5%))))</f>
        <v>2.62</v>
      </c>
      <c r="M65" s="294">
        <f t="shared" ca="1" si="1"/>
        <v>2.6</v>
      </c>
      <c r="N65" s="2329" t="s">
        <v>1383</v>
      </c>
      <c r="Z65" s="1622"/>
      <c r="AI65" s="1560"/>
    </row>
    <row r="66" spans="1:35" ht="14.25" customHeight="1">
      <c r="A66" s="165" t="s">
        <v>327</v>
      </c>
      <c r="B66" s="166" t="s">
        <v>1386</v>
      </c>
      <c r="C66" s="2351">
        <f>ROUND(面积清单!L9/1.05/10000,0)</f>
        <v>3481</v>
      </c>
      <c r="D66" s="166" t="s">
        <v>26</v>
      </c>
      <c r="E66" s="1250" t="s">
        <v>671</v>
      </c>
      <c r="F66" s="1669"/>
      <c r="G66" s="1669"/>
      <c r="H66" s="151"/>
      <c r="I66" s="121"/>
      <c r="J66" s="3272"/>
      <c r="K66" s="1245" t="s">
        <v>1387</v>
      </c>
      <c r="L66" s="1245">
        <f ca="1">M49*0.5%</f>
        <v>13.1</v>
      </c>
      <c r="M66" s="294">
        <f ca="1">IF(L66&gt;0.5,0.5,ROUND(L66,0))</f>
        <v>0.5</v>
      </c>
      <c r="N66" s="2329" t="s">
        <v>1388</v>
      </c>
      <c r="Z66" s="1622"/>
      <c r="AI66" s="1560"/>
    </row>
    <row r="67" spans="1:35" ht="14.25" customHeight="1">
      <c r="A67" s="165" t="s">
        <v>328</v>
      </c>
      <c r="B67" s="166" t="s">
        <v>1389</v>
      </c>
      <c r="C67" s="2352">
        <f ca="1">C63-C66</f>
        <v>-986</v>
      </c>
      <c r="D67" s="162" t="s">
        <v>26</v>
      </c>
      <c r="E67" s="164"/>
      <c r="F67" s="1669"/>
      <c r="G67" s="1669"/>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2"/>
      <c r="AI67" s="1560"/>
    </row>
    <row r="68" spans="1:35" ht="14.25" customHeight="1" thickBot="1">
      <c r="A68" s="168" t="s">
        <v>329</v>
      </c>
      <c r="B68" s="169" t="s">
        <v>1391</v>
      </c>
      <c r="C68" s="2353">
        <f ca="1">IF(C67&lt;=0,0,ROUND(C67*D68,0))</f>
        <v>0</v>
      </c>
      <c r="D68" s="2354">
        <f>'数据-取费表'!B41</f>
        <v>5.6000000000000001E-2</v>
      </c>
      <c r="E68" s="170"/>
      <c r="F68" s="1669"/>
      <c r="G68" s="1669"/>
      <c r="H68" s="151"/>
      <c r="I68" s="121"/>
      <c r="J68" s="3272"/>
      <c r="K68" s="1245" t="s">
        <v>1392</v>
      </c>
      <c r="L68" s="1245">
        <f ca="1">IF(M49&gt;10000,M49*0.5%,IF(AND(M49&gt;5000,M49&lt;=10000),M49*1%,IF(AND(M49&gt;1000,M49&lt;=5000),M49*2%,IF(AND(M49&gt;200,M49&lt;=1000),M49*3%,M49*5%))))</f>
        <v>52.4</v>
      </c>
      <c r="M68" s="294">
        <f ca="1">ROUND(L68,1)</f>
        <v>52.4</v>
      </c>
      <c r="N68" s="2328"/>
      <c r="Z68" s="1622"/>
      <c r="AI68" s="1560"/>
    </row>
    <row r="69" spans="1:35" ht="16.5" customHeight="1">
      <c r="A69" s="1671"/>
      <c r="B69" s="1672"/>
      <c r="C69" s="1673"/>
      <c r="D69" s="1674"/>
      <c r="E69" s="1675"/>
      <c r="F69" s="1465"/>
      <c r="G69" s="1465"/>
      <c r="H69" s="1466"/>
      <c r="I69" s="646"/>
      <c r="J69" s="3272"/>
      <c r="K69" s="1245" t="s">
        <v>1393</v>
      </c>
      <c r="L69" s="1245"/>
      <c r="M69" s="294">
        <f ca="1">ROUND(SUM(M63:M68),0)</f>
        <v>97</v>
      </c>
      <c r="N69" s="2330">
        <f ca="1">M69/M49</f>
        <v>3.7022900763358776E-2</v>
      </c>
      <c r="Z69" s="1622"/>
      <c r="AI69" s="1560"/>
    </row>
    <row r="70" spans="1:35" s="642" customFormat="1" ht="14.4" thickBot="1">
      <c r="A70" s="3316" t="s">
        <v>1394</v>
      </c>
      <c r="B70" s="3317"/>
      <c r="C70" s="3317"/>
      <c r="D70" s="3317"/>
      <c r="E70" s="3317"/>
      <c r="F70" s="3317"/>
      <c r="G70" s="3317"/>
      <c r="H70" s="331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08" t="s">
        <v>1375</v>
      </c>
      <c r="B71" s="330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2">
        <f ca="1">ROUND(D45/(1+'数据-取费表'!C42),0)</f>
        <v>2495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2">
        <f ca="1">C74+C78</f>
        <v>4699</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4684</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3168">
        <f>面积清单!L9/10000</f>
        <v>3655.317</v>
      </c>
      <c r="D75" s="162" t="s">
        <v>26</v>
      </c>
      <c r="E75" s="176" t="s">
        <v>1399</v>
      </c>
      <c r="F75" s="2356" t="s">
        <v>3526</v>
      </c>
      <c r="G75" s="176" t="s">
        <v>1400</v>
      </c>
      <c r="H75" s="2357">
        <f>2024-2018</f>
        <v>6</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1097</v>
      </c>
      <c r="D76" s="2358">
        <v>0.05</v>
      </c>
      <c r="E76" s="3313" t="s">
        <v>1402</v>
      </c>
      <c r="F76" s="3312"/>
      <c r="G76" s="3312"/>
      <c r="H76" s="331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106</v>
      </c>
      <c r="D77" s="2359">
        <f>'数据-取费表'!B48+'数据-取费表'!B49</f>
        <v>3.0499999999999999E-2</v>
      </c>
      <c r="E77" s="12" t="s">
        <v>1404</v>
      </c>
      <c r="F77" s="178"/>
      <c r="G77" s="1681" t="s">
        <v>3532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15</v>
      </c>
      <c r="D78" s="2361">
        <f>'数据-取费表'!B43</f>
        <v>6.000000000000001E-3</v>
      </c>
      <c r="E78" s="3305" t="s">
        <v>1406</v>
      </c>
      <c r="F78" s="3306"/>
      <c r="G78" s="3306"/>
      <c r="H78" s="33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2">
        <f ca="1">C72-C73</f>
        <v>-2204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6" t="s">
        <v>1410</v>
      </c>
      <c r="B83" s="3317"/>
      <c r="C83" s="3317"/>
      <c r="D83" s="3317"/>
      <c r="E83" s="3317"/>
      <c r="F83" s="3317"/>
      <c r="G83" s="3317"/>
      <c r="H83" s="331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08" t="s">
        <v>1375</v>
      </c>
      <c r="B84" s="330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2">
        <f ca="1">ROUND(D45/(1+'数据-取费表'!C42),0)</f>
        <v>2495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2">
        <f ca="1">IF(H88="仅含出让金",C87+C90+C91+C92+C93+C94,C87+C91+C92+C93+C94)</f>
        <v>15</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6"/>
      <c r="D88" s="2361"/>
      <c r="E88" s="185" t="s">
        <v>1413</v>
      </c>
      <c r="F88" s="2147"/>
      <c r="G88" s="186" t="s">
        <v>1414</v>
      </c>
      <c r="H88" s="1683"/>
      <c r="I88" s="1680"/>
      <c r="J88" s="2307"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6"/>
      <c r="D90" s="2361"/>
      <c r="E90" s="185" t="str">
        <f>IF(H88="-","土地取得成本中已包含该笔费用"," ")</f>
        <v xml:space="preserve"> </v>
      </c>
      <c r="F90" s="2147"/>
      <c r="G90" s="3274" t="s">
        <v>2126</v>
      </c>
      <c r="H90" s="3275"/>
      <c r="I90" s="1680"/>
      <c r="J90" s="2307"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305" t="s">
        <v>1419</v>
      </c>
      <c r="F91" s="3306"/>
      <c r="G91" s="330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05" t="s">
        <v>1422</v>
      </c>
      <c r="F92" s="3306"/>
      <c r="G92" s="3306"/>
      <c r="H92" s="3307"/>
      <c r="I92" s="1680"/>
      <c r="J92" s="2308"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15</v>
      </c>
      <c r="D93" s="2361">
        <f>'数据-取费表'!B43</f>
        <v>6.000000000000001E-3</v>
      </c>
      <c r="E93" s="3305" t="s">
        <v>1406</v>
      </c>
      <c r="F93" s="3306"/>
      <c r="G93" s="3306"/>
      <c r="H93" s="33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50" t="s">
        <v>1426</v>
      </c>
      <c r="F94" s="3351"/>
      <c r="G94" s="3351"/>
      <c r="H94" s="33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2">
        <f ca="1">ROUND(C85-C86,0)</f>
        <v>2480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f ca="1">IF(C95&lt;=0,0,C95/C86)</f>
        <v>165.33333333333334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3">
        <f ca="1">ROUND(IF(C95&lt;=0,0,IF(C96&gt;=200%,C95*60%-C86*35%,IF(C96&gt;=100%,C95*50%-C86*15%,IF(C96&gt;=50%,C95*40%-C86*5%,IF(C96&lt;50%,C95*30%,0))))),0)</f>
        <v>1483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4" t="s">
        <v>1428</v>
      </c>
      <c r="B100" s="3255"/>
      <c r="C100" s="3255"/>
      <c r="D100" s="3290"/>
      <c r="E100" s="3255" t="s">
        <v>1429</v>
      </c>
      <c r="F100" s="3255"/>
      <c r="G100" s="3255"/>
      <c r="H100" s="3290"/>
      <c r="I100" s="121"/>
    </row>
    <row r="101" spans="1:35" ht="18.75" customHeight="1">
      <c r="A101" s="3298" t="s">
        <v>1430</v>
      </c>
      <c r="B101" s="3299"/>
      <c r="C101" s="2369" t="str">
        <f>C4</f>
        <v>比较法-办公</v>
      </c>
      <c r="D101" s="2370" t="str">
        <f>D4</f>
        <v>收益法 (元)</v>
      </c>
      <c r="E101" s="3268" t="s">
        <v>1431</v>
      </c>
      <c r="F101" s="3269"/>
      <c r="G101" s="1686" t="s">
        <v>1432</v>
      </c>
      <c r="H101" s="2379">
        <f ca="1">H118</f>
        <v>508</v>
      </c>
      <c r="I101" s="121"/>
    </row>
    <row r="102" spans="1:35" ht="18.75" customHeight="1">
      <c r="A102" s="3300" t="s">
        <v>1433</v>
      </c>
      <c r="B102" s="2368" t="s">
        <v>1432</v>
      </c>
      <c r="C102" s="2369">
        <f ca="1">IF(D32="楼面单价",ROUND(C19,0),C19)</f>
        <v>572</v>
      </c>
      <c r="D102" s="2370">
        <f ca="1">IF(D32="楼面单价",ROUND(D19,0),D19)</f>
        <v>357</v>
      </c>
      <c r="E102" s="3268"/>
      <c r="F102" s="3269"/>
      <c r="G102" s="1686" t="s">
        <v>1434</v>
      </c>
      <c r="H102" s="2339">
        <f ca="1">I118</f>
        <v>28279</v>
      </c>
      <c r="I102" s="121"/>
    </row>
    <row r="103" spans="1:35" ht="42.75" customHeight="1">
      <c r="A103" s="3300"/>
      <c r="B103" s="2368" t="s">
        <v>1434</v>
      </c>
      <c r="C103" s="2371">
        <f ca="1">C20</f>
        <v>31865</v>
      </c>
      <c r="D103" s="2372">
        <f ca="1">D20</f>
        <v>19912</v>
      </c>
      <c r="E103" s="3260" t="s">
        <v>1435</v>
      </c>
      <c r="F103" s="3261"/>
      <c r="G103" s="1687" t="s">
        <v>1436</v>
      </c>
      <c r="H103" s="2379">
        <f>IF(D36="正常操作",H104+H105+H106,H105+H106)</f>
        <v>0</v>
      </c>
      <c r="I103" s="121"/>
    </row>
    <row r="104" spans="1:35" ht="18.75" customHeight="1">
      <c r="A104" s="3300" t="s">
        <v>1437</v>
      </c>
      <c r="B104" s="2373" t="s">
        <v>1432</v>
      </c>
      <c r="C104" s="2374">
        <f ca="1">H118</f>
        <v>508</v>
      </c>
      <c r="D104" s="2375"/>
      <c r="E104" s="1554" t="s">
        <v>1438</v>
      </c>
      <c r="F104" s="1547"/>
      <c r="G104" s="1687" t="s">
        <v>1436</v>
      </c>
      <c r="H104" s="2380">
        <f>IF(D36="同一抵押权人同一抵押物续贷",C36&amp;"（续贷，未扣减，详见特别提示）",C36)</f>
        <v>0</v>
      </c>
      <c r="I104" s="121"/>
    </row>
    <row r="105" spans="1:35" ht="18.75" customHeight="1" thickBot="1">
      <c r="A105" s="3310"/>
      <c r="B105" s="2376" t="s">
        <v>1434</v>
      </c>
      <c r="C105" s="2377">
        <f ca="1">I118</f>
        <v>28279</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01" t="str">
        <f>IF(项目基本情况!E8="已注销","——","3.房地产抵押价值")</f>
        <v>3.房地产抵押价值</v>
      </c>
      <c r="F107" s="3269"/>
      <c r="G107" s="1686" t="s">
        <v>1432</v>
      </c>
      <c r="H107" s="2379">
        <f ca="1">IF(E107="——","——",H101-H103)</f>
        <v>508</v>
      </c>
      <c r="I107" s="121"/>
    </row>
    <row r="108" spans="1:35" ht="18.75" customHeight="1">
      <c r="A108" s="121"/>
      <c r="B108" s="121"/>
      <c r="C108" s="121"/>
      <c r="D108" s="121"/>
      <c r="E108" s="3301"/>
      <c r="F108" s="3269"/>
      <c r="G108" s="1686" t="s">
        <v>1434</v>
      </c>
      <c r="H108" s="2339">
        <f ca="1">IF(H107=H101,H102,ROUND(H107*10000/'数据-汇总表'!E3,0))</f>
        <v>28279</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6" t="s">
        <v>1432</v>
      </c>
      <c r="H109" s="2382" t="str">
        <f>IF(E109="——","——",H101-H105-H106)</f>
        <v>——</v>
      </c>
      <c r="I109" s="121"/>
    </row>
    <row r="110" spans="1:35" ht="18.75" customHeight="1">
      <c r="A110" s="121"/>
      <c r="B110" s="121"/>
      <c r="C110" s="121"/>
      <c r="D110" s="121"/>
      <c r="E110" s="3301"/>
      <c r="F110" s="3269"/>
      <c r="G110" s="1686" t="s">
        <v>1434</v>
      </c>
      <c r="H110" s="2339"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4.抵押净值</v>
      </c>
      <c r="F111" s="3288"/>
      <c r="G111" s="1686" t="s">
        <v>1432</v>
      </c>
      <c r="H111" s="2379">
        <f ca="1">IF(E111="——","——",N59)</f>
        <v>2619</v>
      </c>
      <c r="I111" s="121"/>
    </row>
    <row r="112" spans="1:35" ht="18.75" customHeight="1" thickBot="1">
      <c r="A112" s="121"/>
      <c r="B112" s="121"/>
      <c r="C112" s="121"/>
      <c r="D112" s="121"/>
      <c r="E112" s="3303"/>
      <c r="F112" s="3304"/>
      <c r="G112" s="1689" t="s">
        <v>1434</v>
      </c>
      <c r="H112" s="2383">
        <f ca="1">IF(E111="——","——",N61)</f>
        <v>29323</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0"/>
      <c r="F114" s="1670"/>
      <c r="G114" s="1670"/>
      <c r="H114" s="1670"/>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49" t="s">
        <v>1449</v>
      </c>
      <c r="E117" s="2149" t="s">
        <v>1450</v>
      </c>
      <c r="F117" s="2149" t="s">
        <v>1449</v>
      </c>
      <c r="G117" s="2149" t="s">
        <v>1451</v>
      </c>
      <c r="H117" s="2149" t="s">
        <v>1449</v>
      </c>
      <c r="I117" s="2149" t="s">
        <v>1451</v>
      </c>
    </row>
    <row r="118" spans="1:27" ht="24.75" customHeight="1">
      <c r="A118" s="2384" t="str">
        <f>项目基本情况!S2</f>
        <v>北京市朝阳区东三环南路98号1幢房地产</v>
      </c>
      <c r="B118" s="2149">
        <f>M18</f>
        <v>179.5</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508</v>
      </c>
      <c r="I118" s="2149">
        <f ca="1">ROUND(IF(D32="楼面单价",C32,H118*10000/B118),0)</f>
        <v>28279</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伍佰零捌万元整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508</v>
      </c>
      <c r="E122" s="3278"/>
      <c r="F122" s="3278"/>
      <c r="G122" s="3278"/>
      <c r="H122" s="3278"/>
      <c r="I122" s="3279"/>
      <c r="AA122" s="684"/>
    </row>
    <row r="123" spans="1:27" ht="18.75" customHeight="1">
      <c r="A123" s="3276" t="s">
        <v>1452</v>
      </c>
      <c r="B123" s="3276"/>
      <c r="C123" s="3276"/>
      <c r="D123" s="3282" t="str">
        <f ca="1">NUMBERSTRING(INT(D122*10000),2)&amp;"元整"</f>
        <v>伍佰零捌万元整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抵押净值</v>
      </c>
      <c r="B126" s="3288"/>
      <c r="C126" s="3288"/>
      <c r="D126" s="3277">
        <f ca="1">H111</f>
        <v>2619</v>
      </c>
      <c r="E126" s="3278"/>
      <c r="F126" s="3278"/>
      <c r="G126" s="3278"/>
      <c r="H126" s="3278"/>
      <c r="I126" s="3279"/>
      <c r="AA126" s="684"/>
    </row>
    <row r="127" spans="1:27" ht="18.75" customHeight="1">
      <c r="A127" s="3276" t="s">
        <v>1452</v>
      </c>
      <c r="B127" s="3276"/>
      <c r="C127" s="3276"/>
      <c r="D127" s="3282" t="str">
        <f ca="1">NUMBERSTRING(INT(D126*10000),2)&amp;"元整"</f>
        <v>贰仟陆佰壹拾玖万元整</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8UwG9jyy5qBOIbWV0hOLxI2+T4CFKBgPlWcPv3yhJTRSK6+ARSepXRanaRT5JSnYbFxTQ5U6N6xn4PAzwYPG2A==" saltValue="vCaE5uNDam8yozfcsaQzZ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2">
        <f>MATCH(B1,'数据-取费表'!A6:A16,0)+5</f>
        <v>7</v>
      </c>
    </row>
    <row r="2" spans="1:9" s="192" customFormat="1" ht="18" customHeight="1">
      <c r="A2" s="193" t="s">
        <v>1462</v>
      </c>
      <c r="B2" s="194">
        <f ca="1">IF(D2="——",C52,C52-E2)</f>
        <v>95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5292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1070"/>
      <c r="I9" s="1715" t="s">
        <v>1479</v>
      </c>
    </row>
    <row r="10" spans="1:9" s="206" customFormat="1" ht="13.5" customHeight="1">
      <c r="A10" s="733" t="s">
        <v>356</v>
      </c>
      <c r="B10" s="216" t="s">
        <v>1480</v>
      </c>
      <c r="C10" s="217">
        <f ca="1">ROUND(D10*E10/10000,0)</f>
        <v>4</v>
      </c>
      <c r="D10" s="795">
        <f ca="1">IF(B1="",'数据-汇总表'!E6,IF(INDIRECT("'数据-取费表'!c"&amp;$G$1)="住宅",INDIRECT("'数据-取费表'!s"&amp;$G$1),INDIRECT("'数据-取费表'!k"&amp;$G$1)+INDIRECT("'数据-取费表'!s"&amp;$G$1)))</f>
        <v>179.5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179.5</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90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0.04</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179.5</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14</v>
      </c>
      <c r="D45" s="227">
        <f ca="1">C47</f>
        <v>3.0000000000000001E-3</v>
      </c>
      <c r="E45" s="228" t="s">
        <v>1539</v>
      </c>
      <c r="F45" s="238">
        <f ca="1">F27</f>
        <v>0.15</v>
      </c>
      <c r="G45" s="239" t="s">
        <v>1548</v>
      </c>
    </row>
    <row r="46" spans="1:7" s="206" customFormat="1" ht="13.5" customHeight="1">
      <c r="A46" s="734" t="s">
        <v>346</v>
      </c>
      <c r="B46" s="240" t="s">
        <v>1549</v>
      </c>
      <c r="C46" s="241">
        <f ca="1">ROUND((C33+C39)*F27,0)</f>
        <v>14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118</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90</v>
      </c>
      <c r="D51" s="224"/>
      <c r="E51" s="224"/>
      <c r="F51" s="256"/>
      <c r="G51" s="226" t="s">
        <v>1560</v>
      </c>
    </row>
    <row r="52" spans="1:7" s="200" customFormat="1" ht="16.8" thickBot="1">
      <c r="A52" s="257" t="s">
        <v>1561</v>
      </c>
      <c r="B52" s="258"/>
      <c r="C52" s="259">
        <f ca="1">C31+C51</f>
        <v>95</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-5</v>
      </c>
      <c r="C2" s="268" t="s">
        <v>1595</v>
      </c>
      <c r="D2" s="268"/>
      <c r="E2" s="2565"/>
      <c r="F2" s="2565"/>
      <c r="G2" s="2565"/>
      <c r="H2" s="2565"/>
      <c r="I2" s="2565"/>
      <c r="J2" s="2565"/>
      <c r="K2" s="2565"/>
    </row>
    <row r="3" spans="1:33" ht="18" customHeight="1" thickBot="1">
      <c r="A3" s="195" t="s">
        <v>1464</v>
      </c>
      <c r="B3" s="196">
        <f ca="1">ROUND(B2*10000/IF(C1="",'数据-汇总表'!E3,INDIRECT("'数据-取费表'!K"&amp;$K$1)),0)</f>
        <v>-279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0.04</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v>
      </c>
      <c r="D20" s="796">
        <f ca="1">IF(C1="",'数据-汇总表'!E6,IF(INDIRECT("'数据-取费表'!c"&amp;$K$1)="住宅",INDIRECT("'数据-取费表'!s"&amp;$K$1),INDIRECT("'数据-取费表'!k"&amp;$K$1)+INDIRECT("'数据-取费表'!s"&amp;$K$1)))</f>
        <v>179.5</v>
      </c>
      <c r="E20" s="21">
        <f>'数据-取费表'!B28</f>
        <v>200</v>
      </c>
      <c r="F20" s="756"/>
      <c r="G20" s="12"/>
      <c r="H20" s="761"/>
      <c r="I20" s="761"/>
      <c r="J20" s="761"/>
      <c r="K20" s="762"/>
    </row>
    <row r="21" spans="1:33" s="755" customFormat="1" ht="13.5" customHeight="1">
      <c r="A21" s="744" t="s">
        <v>357</v>
      </c>
      <c r="B21" s="765" t="s">
        <v>1628</v>
      </c>
      <c r="C21" s="766">
        <f ca="1">C16+C17+C18</f>
        <v>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60" t="s">
        <v>694</v>
      </c>
      <c r="C6" s="1011">
        <f ca="1">ROUND(F6*F8*F7*(1-F9)/10000,0)</f>
        <v>0</v>
      </c>
      <c r="D6" s="147" t="s">
        <v>2106</v>
      </c>
      <c r="E6" s="294" t="s">
        <v>696</v>
      </c>
      <c r="F6" s="295">
        <f ca="1">INDIRECT("'数据-取费表'!u"&amp;$G$1)</f>
        <v>0</v>
      </c>
      <c r="G6" s="1291"/>
      <c r="H6" s="1006" t="s">
        <v>398</v>
      </c>
      <c r="I6" s="3360" t="s">
        <v>694</v>
      </c>
      <c r="J6" s="293">
        <f ca="1">ROUND(M6*M8*M7*(1-M9)/10000,0)</f>
        <v>0</v>
      </c>
      <c r="K6" s="147" t="s">
        <v>2105</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1"/>
      <c r="H7" s="296"/>
      <c r="I7" s="3361"/>
      <c r="J7" s="298"/>
      <c r="K7" s="299"/>
      <c r="L7" s="294" t="s">
        <v>697</v>
      </c>
      <c r="M7" s="295">
        <f ca="1">F7</f>
        <v>0</v>
      </c>
    </row>
    <row r="8" spans="1:37" ht="18" customHeight="1">
      <c r="A8" s="296"/>
      <c r="B8" s="3361"/>
      <c r="C8" s="298"/>
      <c r="D8" s="299"/>
      <c r="E8" s="294" t="s">
        <v>698</v>
      </c>
      <c r="F8" s="295">
        <f ca="1">INDIRECT("'数据-取费表'!ai"&amp;$G$1)</f>
        <v>0</v>
      </c>
      <c r="G8" s="1291"/>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1"/>
      <c r="H9" s="296"/>
      <c r="I9" s="336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2114</v>
      </c>
      <c r="E10" s="305" t="s">
        <v>701</v>
      </c>
      <c r="F10" s="1053"/>
      <c r="G10" s="1291"/>
      <c r="H10" s="1006" t="s">
        <v>402</v>
      </c>
      <c r="I10" s="1273" t="s">
        <v>700</v>
      </c>
      <c r="J10" s="293">
        <f ca="1">ROUND(IF(M10="押一",J6/12*M11,IF(M10="押二",J6/12*2*M11,IF(M10="押三",J6/12*3*M11,J11*M11))),0)</f>
        <v>0</v>
      </c>
      <c r="K10" s="150" t="s">
        <v>2113</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0.04</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2305</v>
      </c>
      <c r="I31" s="1304"/>
      <c r="J31" s="1305"/>
      <c r="K31" s="121"/>
      <c r="L31" s="2469"/>
      <c r="M31" s="2470"/>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3335</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9"/>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ROUND(F49*F51*F50*(1-F52)/10000,0)</f>
        <v>0</v>
      </c>
      <c r="D49" s="992" t="s">
        <v>2107</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6.6" thickBot="1">
      <c r="A53" s="1079" t="s">
        <v>440</v>
      </c>
      <c r="B53" s="1280" t="s">
        <v>700</v>
      </c>
      <c r="C53" s="308">
        <f ca="1">ROUND(IF(F53="押一",C49/12*F11,IF(F53="押二",C49/12*2*F11,IF(F53="押三",C49/12*3*F11,C54*F11))),0)</f>
        <v>0</v>
      </c>
      <c r="D53" s="150" t="s">
        <v>2113</v>
      </c>
      <c r="E53" s="305" t="s">
        <v>701</v>
      </c>
      <c r="F53" s="1053"/>
      <c r="I53" s="1343" t="s">
        <v>836</v>
      </c>
      <c r="J53" s="2005">
        <f ca="1">IF(M47="住宅",IF(D1="——",MAX(J51,L48),MAX(J51,L48-'数据-取费表'!B24)),IF(D1="——",MIN(J51,L48),MIN(J51,L48-'数据-取费表'!B24)))</f>
        <v>0</v>
      </c>
      <c r="K53" s="3358" t="s">
        <v>837</v>
      </c>
      <c r="L53" s="3359"/>
      <c r="O53" s="1324" t="s">
        <v>409</v>
      </c>
      <c r="P53" s="1325" t="s">
        <v>838</v>
      </c>
      <c r="Q53" s="1326" t="e">
        <f ca="1">Q47+Q48</f>
        <v>#DIV/0!</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12</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C4" zoomScale="70" zoomScaleNormal="70" zoomScaleSheetLayoutView="70" workbookViewId="0">
      <selection activeCell="C10" sqref="C10"/>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v>1511</v>
      </c>
      <c r="E1" s="3129" t="s">
        <v>3448</v>
      </c>
      <c r="F1" s="1734" t="s">
        <v>3449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571.97680000000003</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31865</v>
      </c>
      <c r="C3" s="344" t="s">
        <v>1768</v>
      </c>
      <c r="D3" s="343">
        <f>IF(D1="",'数据-汇总表'!E3,SUMIF('数据-汇总表'!$C19:$C33,D1,'数据-汇总表'!$E19:$E33))</f>
        <v>179.5</v>
      </c>
      <c r="E3" s="1804"/>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389" t="s">
        <v>1775</v>
      </c>
      <c r="Q4" s="3390"/>
      <c r="R4" s="3368" t="s">
        <v>1771</v>
      </c>
      <c r="S4" s="3369"/>
      <c r="T4" s="3368" t="s">
        <v>1772</v>
      </c>
      <c r="U4" s="3369"/>
      <c r="V4" s="3397" t="s">
        <v>1773</v>
      </c>
      <c r="W4" s="3397"/>
      <c r="X4" s="1808"/>
      <c r="Y4" s="3368" t="s">
        <v>1775</v>
      </c>
      <c r="Z4" s="3369"/>
      <c r="AA4" s="3363" t="s">
        <v>1771</v>
      </c>
      <c r="AB4" s="3363" t="s">
        <v>1772</v>
      </c>
      <c r="AC4" s="3382" t="s">
        <v>1773</v>
      </c>
    </row>
    <row r="5" spans="1:29">
      <c r="A5" s="348"/>
      <c r="B5" s="349"/>
      <c r="C5" s="3374" t="s">
        <v>3447</v>
      </c>
      <c r="D5" s="3375"/>
      <c r="E5" s="3372" t="str">
        <f>C5</f>
        <v>高和蓝峰大厦</v>
      </c>
      <c r="F5" s="3373"/>
      <c r="G5" s="3378" t="str">
        <f>C5</f>
        <v>高和蓝峰大厦</v>
      </c>
      <c r="H5" s="3375"/>
      <c r="I5" s="3378" t="str">
        <f>C5</f>
        <v>高和蓝峰大厦</v>
      </c>
      <c r="J5" s="3375"/>
      <c r="K5" s="537"/>
      <c r="L5" s="2484"/>
      <c r="M5" s="2485"/>
      <c r="N5" s="2485"/>
      <c r="O5" s="2485"/>
      <c r="P5" s="3391"/>
      <c r="Q5" s="3392"/>
      <c r="R5" s="3370"/>
      <c r="S5" s="3371"/>
      <c r="T5" s="3370"/>
      <c r="U5" s="3371"/>
      <c r="V5" s="3398"/>
      <c r="W5" s="3398"/>
      <c r="X5" s="1264"/>
      <c r="Y5" s="3370"/>
      <c r="Z5" s="3371"/>
      <c r="AA5" s="3364"/>
      <c r="AB5" s="3364"/>
      <c r="AC5" s="3383"/>
    </row>
    <row r="6" spans="1:29" ht="15" thickBot="1">
      <c r="A6" s="350"/>
      <c r="B6" s="351"/>
      <c r="C6" s="3376" t="s">
        <v>1677</v>
      </c>
      <c r="D6" s="3377"/>
      <c r="E6" s="3379" t="s">
        <v>1677</v>
      </c>
      <c r="F6" s="3380"/>
      <c r="G6" s="3376" t="s">
        <v>1677</v>
      </c>
      <c r="H6" s="3377"/>
      <c r="I6" s="3376" t="s">
        <v>1677</v>
      </c>
      <c r="J6" s="3377"/>
      <c r="K6" s="537" t="s">
        <v>1678</v>
      </c>
      <c r="L6" s="2484"/>
      <c r="M6" s="2485"/>
      <c r="N6" s="2485"/>
      <c r="O6" s="2485"/>
      <c r="P6" s="3393"/>
      <c r="Q6" s="3394"/>
      <c r="R6" s="3370"/>
      <c r="S6" s="3371"/>
      <c r="T6" s="3395"/>
      <c r="U6" s="3396"/>
      <c r="V6" s="3398"/>
      <c r="W6" s="3398"/>
      <c r="X6" s="1264"/>
      <c r="Y6" s="3395"/>
      <c r="Z6" s="3396"/>
      <c r="AA6" s="3365"/>
      <c r="AB6" s="3365"/>
      <c r="AC6" s="3384"/>
    </row>
    <row r="7" spans="1:29" s="102" customFormat="1" ht="15" thickBot="1">
      <c r="A7" s="352" t="s">
        <v>1679</v>
      </c>
      <c r="B7" s="353"/>
      <c r="C7" s="354">
        <f>'数据-取费表'!B2</f>
        <v>45649</v>
      </c>
      <c r="D7" s="355">
        <v>100</v>
      </c>
      <c r="E7" s="356">
        <f>C7</f>
        <v>45649</v>
      </c>
      <c r="F7" s="357">
        <f>SUMIF(59:59,YEAR(E7)&amp;"-"&amp;MONTH(E7),60:60)</f>
        <v>100</v>
      </c>
      <c r="G7" s="356">
        <f>C7</f>
        <v>45649</v>
      </c>
      <c r="H7" s="355">
        <f>SUMIF(59:59,YEAR(G7)&amp;"-"&amp;MONTH(G7),60:60)</f>
        <v>100</v>
      </c>
      <c r="I7" s="356">
        <f>C7</f>
        <v>45649</v>
      </c>
      <c r="J7" s="355">
        <f>SUMIF(59:59,YEAR(I7)&amp;"-"&amp;MONTH(I7),60:60)</f>
        <v>100</v>
      </c>
      <c r="K7" s="38"/>
      <c r="L7" s="2486"/>
      <c r="M7" s="2438"/>
      <c r="N7" s="2438"/>
      <c r="O7" s="2438"/>
      <c r="P7" s="3399" t="s">
        <v>1680</v>
      </c>
      <c r="Q7" s="3400"/>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802">
        <f>D7/J7</f>
        <v>1</v>
      </c>
    </row>
    <row r="8" spans="1:29" s="102" customFormat="1" ht="15" thickBot="1">
      <c r="A8" s="352" t="s">
        <v>1681</v>
      </c>
      <c r="B8" s="353"/>
      <c r="C8" s="358" t="s">
        <v>3450</v>
      </c>
      <c r="D8" s="355">
        <v>100</v>
      </c>
      <c r="E8" s="358" t="s">
        <v>3501</v>
      </c>
      <c r="F8" s="357">
        <f>SUMIF(62:62,E8,63:63)-SUMIF(62:62,C8,63:63)+100</f>
        <v>102</v>
      </c>
      <c r="G8" s="358" t="s">
        <v>3501</v>
      </c>
      <c r="H8" s="355">
        <f>SUMIF(62:62,G8,63:63)-SUMIF(62:62,C8,63:63)+100</f>
        <v>102</v>
      </c>
      <c r="I8" s="358" t="s">
        <v>3501</v>
      </c>
      <c r="J8" s="355">
        <f>SUMIF(62:62,I8,63:63)-SUMIF(62:62,C8,63:63)+100</f>
        <v>102</v>
      </c>
      <c r="K8" s="38"/>
      <c r="L8" s="2486"/>
      <c r="M8" s="2438"/>
      <c r="N8" s="2438"/>
      <c r="O8" s="2438"/>
      <c r="P8" s="3399" t="s">
        <v>1683</v>
      </c>
      <c r="Q8" s="3367"/>
      <c r="R8" s="664" t="s">
        <v>14</v>
      </c>
      <c r="S8" s="665">
        <f t="shared" si="0"/>
        <v>102</v>
      </c>
      <c r="T8" s="664" t="s">
        <v>14</v>
      </c>
      <c r="U8" s="665">
        <f t="shared" si="1"/>
        <v>102</v>
      </c>
      <c r="V8" s="664" t="s">
        <v>14</v>
      </c>
      <c r="W8" s="665">
        <f t="shared" si="2"/>
        <v>102</v>
      </c>
      <c r="X8" s="666"/>
      <c r="Y8" s="3366" t="s">
        <v>1683</v>
      </c>
      <c r="Z8" s="3367"/>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1" t="s">
        <v>3451</v>
      </c>
      <c r="D9" s="59">
        <v>100</v>
      </c>
      <c r="E9" s="362" t="s">
        <v>3406</v>
      </c>
      <c r="F9" s="59">
        <f>SUMIF(64:64,E9,65:65)-SUMIF(64:64,C9,65:65)+100</f>
        <v>100</v>
      </c>
      <c r="G9" s="361" t="s">
        <v>3406</v>
      </c>
      <c r="H9" s="59">
        <f>SUMIF(64:64,G9,65:65)-SUMIF(64:64,C9,65:65)+100</f>
        <v>100</v>
      </c>
      <c r="I9" s="361" t="s">
        <v>3406</v>
      </c>
      <c r="J9" s="59">
        <f>SUMIF(64:64,I9,65:65)-SUMIF(64:64,C9,65:65)+100</f>
        <v>100</v>
      </c>
      <c r="K9" s="38"/>
      <c r="L9" s="2486"/>
      <c r="M9" s="2438"/>
      <c r="N9" s="2438"/>
      <c r="O9" s="2438"/>
      <c r="P9" s="338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9.4" thickTop="1">
      <c r="A10" s="363"/>
      <c r="B10" s="364" t="s">
        <v>1688</v>
      </c>
      <c r="C10" s="3169" t="s">
        <v>3541</v>
      </c>
      <c r="D10" s="119">
        <v>100</v>
      </c>
      <c r="E10" s="3169" t="s">
        <v>3538</v>
      </c>
      <c r="F10" s="119">
        <f>SUMIF(66:66,E10,67:67)-SUMIF(66:66,C10,67:67)+100</f>
        <v>100</v>
      </c>
      <c r="G10" s="3169" t="s">
        <v>3538</v>
      </c>
      <c r="H10" s="119">
        <f>SUMIF(66:66,G10,67:67)-SUMIF(66:66,C10,67:67)+100</f>
        <v>100</v>
      </c>
      <c r="I10" s="3169" t="s">
        <v>3538</v>
      </c>
      <c r="J10" s="119">
        <f>SUMIF(66:66,I10,67:67)-SUMIF(66:66,C10,67:67)+100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1"/>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8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01" t="s">
        <v>1691</v>
      </c>
      <c r="Q15" s="1262" t="str">
        <f t="shared" si="6"/>
        <v>办公集聚程度</v>
      </c>
      <c r="R15" s="667" t="s">
        <v>14</v>
      </c>
      <c r="S15" s="668">
        <f t="shared" si="0"/>
        <v>100</v>
      </c>
      <c r="T15" s="667" t="s">
        <v>14</v>
      </c>
      <c r="U15" s="668">
        <f t="shared" si="1"/>
        <v>100</v>
      </c>
      <c r="V15" s="667" t="s">
        <v>14</v>
      </c>
      <c r="W15" s="668">
        <f t="shared" si="2"/>
        <v>100</v>
      </c>
      <c r="X15" s="1264"/>
      <c r="Y15" s="3403" t="s">
        <v>1691</v>
      </c>
      <c r="Z15" s="1263" t="str">
        <f t="shared" si="7"/>
        <v>办公集聚程度</v>
      </c>
      <c r="AA15" s="1263">
        <f t="shared" si="3"/>
        <v>1</v>
      </c>
      <c r="AB15" s="1263">
        <f t="shared" si="4"/>
        <v>1</v>
      </c>
      <c r="AC15" s="1811">
        <f t="shared" si="5"/>
        <v>1</v>
      </c>
    </row>
    <row r="16" spans="1:29" ht="15">
      <c r="A16" s="367"/>
      <c r="B16" s="555"/>
      <c r="C16" s="1757" t="s">
        <v>3452</v>
      </c>
      <c r="D16" s="387"/>
      <c r="E16" s="386" t="s">
        <v>3452</v>
      </c>
      <c r="F16" s="387"/>
      <c r="G16" s="1757" t="s">
        <v>3452</v>
      </c>
      <c r="H16" s="389"/>
      <c r="I16" s="386" t="s">
        <v>3452</v>
      </c>
      <c r="J16" s="387"/>
      <c r="K16" s="541"/>
      <c r="L16" s="2490"/>
      <c r="M16" s="2485"/>
      <c r="N16" s="2485"/>
      <c r="O16" s="2485"/>
      <c r="P16" s="3402"/>
      <c r="Q16" s="1262"/>
      <c r="R16" s="667"/>
      <c r="S16" s="668"/>
      <c r="T16" s="667"/>
      <c r="U16" s="668"/>
      <c r="V16" s="667"/>
      <c r="W16" s="668"/>
      <c r="X16" s="1264"/>
      <c r="Y16" s="3404"/>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02"/>
      <c r="Q17" s="1262" t="str">
        <f>B17</f>
        <v>交通便捷度</v>
      </c>
      <c r="R17" s="667" t="s">
        <v>14</v>
      </c>
      <c r="S17" s="668">
        <f>F17</f>
        <v>100</v>
      </c>
      <c r="T17" s="667" t="s">
        <v>14</v>
      </c>
      <c r="U17" s="668">
        <f>H17</f>
        <v>100</v>
      </c>
      <c r="V17" s="667" t="s">
        <v>14</v>
      </c>
      <c r="W17" s="668">
        <f>J17</f>
        <v>100</v>
      </c>
      <c r="X17" s="1264"/>
      <c r="Y17" s="3404"/>
      <c r="Z17" s="1263" t="str">
        <f>Q17</f>
        <v>交通便捷度</v>
      </c>
      <c r="AA17" s="1263">
        <f t="shared" si="3"/>
        <v>1</v>
      </c>
      <c r="AB17" s="1263">
        <f t="shared" si="4"/>
        <v>1</v>
      </c>
      <c r="AC17" s="1811">
        <f t="shared" si="5"/>
        <v>1</v>
      </c>
    </row>
    <row r="18" spans="1:29" ht="15">
      <c r="A18" s="367"/>
      <c r="B18" s="401"/>
      <c r="C18" s="1813" t="s">
        <v>3453</v>
      </c>
      <c r="D18" s="389"/>
      <c r="E18" s="1755" t="s">
        <v>3453</v>
      </c>
      <c r="F18" s="389"/>
      <c r="G18" s="1756" t="s">
        <v>3453</v>
      </c>
      <c r="H18" s="387"/>
      <c r="I18" s="1756" t="s">
        <v>3453</v>
      </c>
      <c r="J18" s="387"/>
      <c r="K18" s="541"/>
      <c r="L18" s="2490"/>
      <c r="M18" s="2485"/>
      <c r="N18" s="2485"/>
      <c r="O18" s="2485"/>
      <c r="P18" s="3402"/>
      <c r="Q18" s="1262"/>
      <c r="R18" s="667"/>
      <c r="S18" s="668"/>
      <c r="T18" s="667"/>
      <c r="U18" s="668"/>
      <c r="V18" s="667"/>
      <c r="W18" s="668"/>
      <c r="X18" s="1264"/>
      <c r="Y18" s="3404"/>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02"/>
      <c r="Q19" s="1262" t="str">
        <f>B19</f>
        <v>公共配套设施</v>
      </c>
      <c r="R19" s="667" t="s">
        <v>14</v>
      </c>
      <c r="S19" s="668">
        <f>F19</f>
        <v>100</v>
      </c>
      <c r="T19" s="667" t="s">
        <v>14</v>
      </c>
      <c r="U19" s="668">
        <f>H19</f>
        <v>100</v>
      </c>
      <c r="V19" s="667" t="s">
        <v>14</v>
      </c>
      <c r="W19" s="668">
        <f>J19</f>
        <v>100</v>
      </c>
      <c r="X19" s="1264"/>
      <c r="Y19" s="3404"/>
      <c r="Z19" s="1263" t="str">
        <f>Q19</f>
        <v>公共配套设施</v>
      </c>
      <c r="AA19" s="1263">
        <f t="shared" si="3"/>
        <v>1</v>
      </c>
      <c r="AB19" s="1263">
        <f t="shared" si="4"/>
        <v>1</v>
      </c>
      <c r="AC19" s="1811">
        <f t="shared" si="5"/>
        <v>1</v>
      </c>
    </row>
    <row r="20" spans="1:29" ht="15">
      <c r="A20" s="367"/>
      <c r="B20" s="401"/>
      <c r="C20" s="1757" t="s">
        <v>3453</v>
      </c>
      <c r="D20" s="387"/>
      <c r="E20" s="1750" t="s">
        <v>3453</v>
      </c>
      <c r="F20" s="387"/>
      <c r="G20" s="1751" t="s">
        <v>3453</v>
      </c>
      <c r="H20" s="387"/>
      <c r="I20" s="1751" t="s">
        <v>3453</v>
      </c>
      <c r="J20" s="387"/>
      <c r="K20" s="541"/>
      <c r="L20" s="2490"/>
      <c r="M20" s="2485"/>
      <c r="N20" s="2485"/>
      <c r="O20" s="2485"/>
      <c r="P20" s="3402"/>
      <c r="Q20" s="1262"/>
      <c r="R20" s="667"/>
      <c r="S20" s="668"/>
      <c r="T20" s="667"/>
      <c r="U20" s="668"/>
      <c r="V20" s="667"/>
      <c r="W20" s="668"/>
      <c r="X20" s="1264"/>
      <c r="Y20" s="3404"/>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02"/>
      <c r="Q21" s="1262" t="str">
        <f>B21</f>
        <v>基础设施水平</v>
      </c>
      <c r="R21" s="667" t="s">
        <v>14</v>
      </c>
      <c r="S21" s="668">
        <f>F21</f>
        <v>100</v>
      </c>
      <c r="T21" s="667" t="s">
        <v>14</v>
      </c>
      <c r="U21" s="668">
        <f>H21</f>
        <v>100</v>
      </c>
      <c r="V21" s="667" t="s">
        <v>14</v>
      </c>
      <c r="W21" s="668">
        <f>J21</f>
        <v>100</v>
      </c>
      <c r="X21" s="1264"/>
      <c r="Y21" s="3404"/>
      <c r="Z21" s="1263" t="str">
        <f>Q21</f>
        <v>基础设施水平</v>
      </c>
      <c r="AA21" s="1263">
        <f t="shared" ref="AA21" si="8">D21/F21</f>
        <v>1</v>
      </c>
      <c r="AB21" s="1263">
        <f t="shared" ref="AB21" si="9">D21/H21</f>
        <v>1</v>
      </c>
      <c r="AC21" s="1811">
        <f t="shared" ref="AC21" si="10">D21/J21</f>
        <v>1</v>
      </c>
    </row>
    <row r="22" spans="1:29" ht="15">
      <c r="A22" s="367"/>
      <c r="B22" s="557"/>
      <c r="C22" s="1813" t="s">
        <v>3455</v>
      </c>
      <c r="D22" s="387"/>
      <c r="E22" s="386" t="s">
        <v>3455</v>
      </c>
      <c r="F22" s="387"/>
      <c r="G22" s="1757" t="s">
        <v>3455</v>
      </c>
      <c r="H22" s="387"/>
      <c r="I22" s="1757" t="s">
        <v>3455</v>
      </c>
      <c r="J22" s="387"/>
      <c r="K22" s="1064"/>
      <c r="L22" s="2490"/>
      <c r="M22" s="2485"/>
      <c r="N22" s="2485"/>
      <c r="O22" s="2485"/>
      <c r="P22" s="3402"/>
      <c r="Q22" s="1262"/>
      <c r="R22" s="667"/>
      <c r="S22" s="668"/>
      <c r="T22" s="667"/>
      <c r="U22" s="668"/>
      <c r="V22" s="667"/>
      <c r="W22" s="668"/>
      <c r="X22" s="1264"/>
      <c r="Y22" s="3404"/>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02"/>
      <c r="Q23" s="1262" t="str">
        <f>B23</f>
        <v>环境质量</v>
      </c>
      <c r="R23" s="667" t="s">
        <v>14</v>
      </c>
      <c r="S23" s="668">
        <f>F23</f>
        <v>100</v>
      </c>
      <c r="T23" s="667" t="s">
        <v>14</v>
      </c>
      <c r="U23" s="668">
        <f>H23</f>
        <v>100</v>
      </c>
      <c r="V23" s="667" t="s">
        <v>14</v>
      </c>
      <c r="W23" s="668">
        <f>J23</f>
        <v>100</v>
      </c>
      <c r="X23" s="1264"/>
      <c r="Y23" s="3404"/>
      <c r="Z23" s="1263" t="str">
        <f>Q23</f>
        <v>环境质量</v>
      </c>
      <c r="AA23" s="1263">
        <f t="shared" si="3"/>
        <v>1</v>
      </c>
      <c r="AB23" s="1263">
        <f t="shared" si="4"/>
        <v>1</v>
      </c>
      <c r="AC23" s="1811">
        <f t="shared" si="5"/>
        <v>1</v>
      </c>
    </row>
    <row r="24" spans="1:29" ht="15">
      <c r="A24" s="367"/>
      <c r="B24" s="557"/>
      <c r="C24" s="1757" t="s">
        <v>3453</v>
      </c>
      <c r="D24" s="387"/>
      <c r="E24" s="1750" t="s">
        <v>3453</v>
      </c>
      <c r="F24" s="387"/>
      <c r="G24" s="1751" t="s">
        <v>3453</v>
      </c>
      <c r="H24" s="387"/>
      <c r="I24" s="1751" t="s">
        <v>3453</v>
      </c>
      <c r="J24" s="387"/>
      <c r="K24" s="541"/>
      <c r="L24" s="2490"/>
      <c r="M24" s="2485"/>
      <c r="N24" s="2485"/>
      <c r="O24" s="2485"/>
      <c r="P24" s="3402"/>
      <c r="Q24" s="1262"/>
      <c r="R24" s="667"/>
      <c r="S24" s="668"/>
      <c r="T24" s="667"/>
      <c r="U24" s="668"/>
      <c r="V24" s="667"/>
      <c r="W24" s="668"/>
      <c r="X24" s="1264"/>
      <c r="Y24" s="3404"/>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90"/>
      <c r="M25" s="2485"/>
      <c r="N25" s="2485"/>
      <c r="O25" s="2485"/>
      <c r="P25" s="3402"/>
      <c r="Q25" s="1262" t="str">
        <f>B25</f>
        <v>毗邻道路的类型与等级</v>
      </c>
      <c r="R25" s="667" t="s">
        <v>14</v>
      </c>
      <c r="S25" s="668">
        <f>F25</f>
        <v>100</v>
      </c>
      <c r="T25" s="667" t="s">
        <v>14</v>
      </c>
      <c r="U25" s="668">
        <f>H25</f>
        <v>100</v>
      </c>
      <c r="V25" s="667" t="s">
        <v>14</v>
      </c>
      <c r="W25" s="668">
        <f>J25</f>
        <v>100</v>
      </c>
      <c r="X25" s="1264"/>
      <c r="Y25" s="340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402"/>
      <c r="Q26" s="1262"/>
      <c r="R26" s="667"/>
      <c r="S26" s="668"/>
      <c r="T26" s="667"/>
      <c r="U26" s="668"/>
      <c r="V26" s="667"/>
      <c r="W26" s="668"/>
      <c r="X26" s="1264"/>
      <c r="Y26" s="3404"/>
      <c r="Z26" s="1263"/>
      <c r="AA26" s="1263">
        <v>1</v>
      </c>
      <c r="AB26" s="1263">
        <v>1</v>
      </c>
      <c r="AC26" s="1811">
        <v>1</v>
      </c>
    </row>
    <row r="27" spans="1:29" ht="15">
      <c r="A27" s="367"/>
      <c r="B27" s="401" t="s">
        <v>1783</v>
      </c>
      <c r="C27" s="558" t="s">
        <v>3458</v>
      </c>
      <c r="D27" s="374">
        <v>100</v>
      </c>
      <c r="E27" s="542" t="s">
        <v>3460</v>
      </c>
      <c r="F27" s="374">
        <f>SUMIF(89:89,E27,90:90)-SUMIF(89:89,C27,90:90)+100</f>
        <v>97</v>
      </c>
      <c r="G27" s="558" t="s">
        <v>3458</v>
      </c>
      <c r="H27" s="374">
        <f>SUMIF(89:89,G27,90:90)-SUMIF(89:89,C27,90:90)+100</f>
        <v>100</v>
      </c>
      <c r="I27" s="542" t="s">
        <v>3458</v>
      </c>
      <c r="J27" s="374">
        <f>SUMIF(89:89,I27,90:90)-SUMIF(89:89,C27,90:90)+100</f>
        <v>100</v>
      </c>
      <c r="K27" s="538">
        <v>3</v>
      </c>
      <c r="L27" s="2490"/>
      <c r="M27" s="2485"/>
      <c r="N27" s="2485"/>
      <c r="O27" s="2485"/>
      <c r="P27" s="3402"/>
      <c r="Q27" s="1262" t="str">
        <f t="shared" ref="Q27:Q47" si="11">B27</f>
        <v>楼层</v>
      </c>
      <c r="R27" s="667" t="s">
        <v>14</v>
      </c>
      <c r="S27" s="668">
        <f>F27</f>
        <v>97</v>
      </c>
      <c r="T27" s="667" t="s">
        <v>14</v>
      </c>
      <c r="U27" s="668">
        <f>H27</f>
        <v>100</v>
      </c>
      <c r="V27" s="667" t="s">
        <v>14</v>
      </c>
      <c r="W27" s="668">
        <f>J27</f>
        <v>100</v>
      </c>
      <c r="X27" s="1264"/>
      <c r="Y27" s="3404"/>
      <c r="Z27" s="1263" t="str">
        <f>Q27</f>
        <v>楼层</v>
      </c>
      <c r="AA27" s="1263">
        <f t="shared" si="3"/>
        <v>1.0309278350515463</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02"/>
      <c r="Q28" s="530" t="str">
        <f t="shared" si="11"/>
        <v>朝向</v>
      </c>
      <c r="R28" s="664" t="s">
        <v>14</v>
      </c>
      <c r="S28" s="665">
        <f>F28</f>
        <v>100</v>
      </c>
      <c r="T28" s="664" t="s">
        <v>14</v>
      </c>
      <c r="U28" s="665">
        <f>H28</f>
        <v>100</v>
      </c>
      <c r="V28" s="664" t="s">
        <v>14</v>
      </c>
      <c r="W28" s="665">
        <f>J28</f>
        <v>100</v>
      </c>
      <c r="X28" s="666"/>
      <c r="Y28" s="3404"/>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02"/>
      <c r="Q29" s="1262">
        <f t="shared" si="11"/>
        <v>111</v>
      </c>
      <c r="R29" s="667" t="s">
        <v>14</v>
      </c>
      <c r="S29" s="668">
        <f t="shared" ref="S29:S47" si="12">F29</f>
        <v>100</v>
      </c>
      <c r="T29" s="667" t="s">
        <v>14</v>
      </c>
      <c r="U29" s="668">
        <f t="shared" ref="U29:U47" si="13">H29</f>
        <v>100</v>
      </c>
      <c r="V29" s="667" t="s">
        <v>14</v>
      </c>
      <c r="W29" s="668">
        <f t="shared" ref="W29:W47" si="14">J29</f>
        <v>100</v>
      </c>
      <c r="X29" s="1264"/>
      <c r="Y29" s="3404"/>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02"/>
      <c r="Q30" s="1262">
        <f t="shared" si="11"/>
        <v>111</v>
      </c>
      <c r="R30" s="667" t="s">
        <v>14</v>
      </c>
      <c r="S30" s="668">
        <f t="shared" si="12"/>
        <v>100</v>
      </c>
      <c r="T30" s="667" t="s">
        <v>14</v>
      </c>
      <c r="U30" s="668">
        <f t="shared" si="13"/>
        <v>100</v>
      </c>
      <c r="V30" s="667" t="s">
        <v>14</v>
      </c>
      <c r="W30" s="668">
        <f t="shared" si="14"/>
        <v>100</v>
      </c>
      <c r="X30" s="1264"/>
      <c r="Y30" s="3404"/>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02"/>
      <c r="Q31" s="1262">
        <f t="shared" si="11"/>
        <v>111</v>
      </c>
      <c r="R31" s="667" t="s">
        <v>14</v>
      </c>
      <c r="S31" s="668">
        <f t="shared" si="12"/>
        <v>100</v>
      </c>
      <c r="T31" s="667" t="s">
        <v>14</v>
      </c>
      <c r="U31" s="668">
        <f t="shared" si="13"/>
        <v>100</v>
      </c>
      <c r="V31" s="667" t="s">
        <v>14</v>
      </c>
      <c r="W31" s="668">
        <f t="shared" si="14"/>
        <v>100</v>
      </c>
      <c r="X31" s="1264"/>
      <c r="Y31" s="3404"/>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02"/>
      <c r="Q32" s="1262">
        <f t="shared" si="11"/>
        <v>111</v>
      </c>
      <c r="R32" s="667" t="s">
        <v>14</v>
      </c>
      <c r="S32" s="668">
        <f t="shared" si="12"/>
        <v>100</v>
      </c>
      <c r="T32" s="667" t="s">
        <v>14</v>
      </c>
      <c r="U32" s="668">
        <f t="shared" si="13"/>
        <v>100</v>
      </c>
      <c r="V32" s="667" t="s">
        <v>14</v>
      </c>
      <c r="W32" s="668">
        <f t="shared" si="14"/>
        <v>100</v>
      </c>
      <c r="X32" s="1264"/>
      <c r="Y32" s="3404"/>
      <c r="Z32" s="1263">
        <f t="shared" si="15"/>
        <v>111</v>
      </c>
      <c r="AA32" s="1263">
        <f t="shared" si="3"/>
        <v>1</v>
      </c>
      <c r="AB32" s="1263">
        <f t="shared" si="4"/>
        <v>1</v>
      </c>
      <c r="AC32" s="1811">
        <f t="shared" si="5"/>
        <v>1</v>
      </c>
    </row>
    <row r="33" spans="1:29" ht="15">
      <c r="A33" s="379" t="s">
        <v>1694</v>
      </c>
      <c r="B33" s="60" t="s">
        <v>1817</v>
      </c>
      <c r="C33" s="1763" t="s">
        <v>3482</v>
      </c>
      <c r="D33" s="405">
        <v>100</v>
      </c>
      <c r="E33" s="1763" t="s">
        <v>3482</v>
      </c>
      <c r="F33" s="400">
        <f>SUMIF(101:101,E33,102:102)-SUMIF(101:101,C33,102:102)+100</f>
        <v>100</v>
      </c>
      <c r="G33" s="1763" t="s">
        <v>3482</v>
      </c>
      <c r="H33" s="374">
        <f>SUMIF(101:101,G33,102:102)-SUMIF(101:101,C33,102:102)+100</f>
        <v>100</v>
      </c>
      <c r="I33" s="1763" t="s">
        <v>3482</v>
      </c>
      <c r="J33" s="405">
        <f>SUMIF(101:101,I33,102:102)-SUMIF(101:101,C33,102:102)+100</f>
        <v>100</v>
      </c>
      <c r="K33" s="538">
        <v>5</v>
      </c>
      <c r="L33" s="2490"/>
      <c r="M33" s="2485"/>
      <c r="N33" s="2485"/>
      <c r="O33" s="2485"/>
      <c r="P33" s="3405" t="s">
        <v>1696</v>
      </c>
      <c r="Q33" s="1262" t="str">
        <f t="shared" si="11"/>
        <v>建筑类型</v>
      </c>
      <c r="R33" s="667" t="s">
        <v>14</v>
      </c>
      <c r="S33" s="668">
        <f t="shared" si="12"/>
        <v>100</v>
      </c>
      <c r="T33" s="667" t="s">
        <v>14</v>
      </c>
      <c r="U33" s="668">
        <f t="shared" si="13"/>
        <v>100</v>
      </c>
      <c r="V33" s="667" t="s">
        <v>14</v>
      </c>
      <c r="W33" s="668">
        <f t="shared" si="14"/>
        <v>100</v>
      </c>
      <c r="X33" s="1264"/>
      <c r="Y33" s="3408"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179.5</v>
      </c>
      <c r="D34" s="119">
        <v>100</v>
      </c>
      <c r="E34" s="369">
        <f>案例!K15</f>
        <v>192.62</v>
      </c>
      <c r="F34" s="364">
        <f>LOOKUP(E34,104:104,105:105)-LOOKUP(C34,104:104,105:105)+100</f>
        <v>100</v>
      </c>
      <c r="G34" s="368">
        <f>案例!K16</f>
        <v>173.24</v>
      </c>
      <c r="H34" s="119">
        <f>LOOKUP(G34,104:104,105:105)-LOOKUP(C34,104:104,105:105)+100</f>
        <v>100</v>
      </c>
      <c r="I34" s="368">
        <f>案例!K17</f>
        <v>267</v>
      </c>
      <c r="J34" s="119">
        <f>LOOKUP(I34,104:104,105:105)-LOOKUP(C34,104:104,105:105)+100</f>
        <v>100</v>
      </c>
      <c r="K34" s="539"/>
      <c r="L34" s="2489"/>
      <c r="M34" s="2491"/>
      <c r="N34" s="2491"/>
      <c r="O34" s="2491"/>
      <c r="P34" s="3406"/>
      <c r="Q34" s="531" t="str">
        <f t="shared" si="11"/>
        <v>项目建筑规模</v>
      </c>
      <c r="R34" s="669" t="s">
        <v>14</v>
      </c>
      <c r="S34" s="670">
        <f t="shared" si="12"/>
        <v>100</v>
      </c>
      <c r="T34" s="669" t="s">
        <v>14</v>
      </c>
      <c r="U34" s="670">
        <f t="shared" si="13"/>
        <v>100</v>
      </c>
      <c r="V34" s="669" t="s">
        <v>14</v>
      </c>
      <c r="W34" s="670">
        <f t="shared" si="14"/>
        <v>100</v>
      </c>
      <c r="X34" s="671"/>
      <c r="Y34" s="3408"/>
      <c r="Z34" s="672" t="str">
        <f t="shared" si="15"/>
        <v>项目建筑规模</v>
      </c>
      <c r="AA34" s="1263">
        <f t="shared" si="3"/>
        <v>1</v>
      </c>
      <c r="AB34" s="1263">
        <f t="shared" si="4"/>
        <v>1</v>
      </c>
      <c r="AC34" s="1811">
        <f t="shared" si="5"/>
        <v>1</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0"/>
      <c r="M35" s="2485"/>
      <c r="N35" s="2485"/>
      <c r="O35" s="2485"/>
      <c r="P35" s="3406"/>
      <c r="Q35" s="1262" t="str">
        <f t="shared" si="11"/>
        <v>建筑结构</v>
      </c>
      <c r="R35" s="667" t="s">
        <v>14</v>
      </c>
      <c r="S35" s="668">
        <f t="shared" si="12"/>
        <v>100</v>
      </c>
      <c r="T35" s="667" t="s">
        <v>14</v>
      </c>
      <c r="U35" s="668">
        <f t="shared" si="13"/>
        <v>100</v>
      </c>
      <c r="V35" s="667" t="s">
        <v>14</v>
      </c>
      <c r="W35" s="668">
        <f t="shared" si="14"/>
        <v>100</v>
      </c>
      <c r="X35" s="1264"/>
      <c r="Y35" s="3408"/>
      <c r="Z35" s="1263" t="str">
        <f t="shared" si="15"/>
        <v>建筑结构</v>
      </c>
      <c r="AA35" s="1263">
        <f t="shared" si="3"/>
        <v>1</v>
      </c>
      <c r="AB35" s="1263">
        <f t="shared" si="4"/>
        <v>1</v>
      </c>
      <c r="AC35" s="1811">
        <f t="shared" si="5"/>
        <v>1</v>
      </c>
    </row>
    <row r="36" spans="1:29" ht="15">
      <c r="A36" s="409"/>
      <c r="B36" s="364" t="s">
        <v>1785</v>
      </c>
      <c r="C36" s="399" t="s">
        <v>3494</v>
      </c>
      <c r="D36" s="374">
        <v>100</v>
      </c>
      <c r="E36" s="399" t="s">
        <v>3494</v>
      </c>
      <c r="F36" s="400">
        <f>SUMIF(108:108,E36,109:109)-SUMIF(108:108,C36,109:109)+100</f>
        <v>100</v>
      </c>
      <c r="G36" s="399" t="s">
        <v>3494</v>
      </c>
      <c r="H36" s="374">
        <f>SUMIF(108:108,G36,109:109)-SUMIF(108:108,C36,109:109)+100</f>
        <v>100</v>
      </c>
      <c r="I36" s="399" t="s">
        <v>3494</v>
      </c>
      <c r="J36" s="374">
        <f>SUMIF(108:108,I36,109:109)-SUMIF(108:108,C36,109:109)+100</f>
        <v>100</v>
      </c>
      <c r="K36" s="538">
        <v>2</v>
      </c>
      <c r="L36" s="2490"/>
      <c r="M36" s="2485"/>
      <c r="N36" s="2485"/>
      <c r="O36" s="2485"/>
      <c r="P36" s="3406"/>
      <c r="Q36" s="1262" t="str">
        <f t="shared" si="11"/>
        <v>公共部分装修</v>
      </c>
      <c r="R36" s="667" t="s">
        <v>14</v>
      </c>
      <c r="S36" s="668">
        <f t="shared" si="12"/>
        <v>100</v>
      </c>
      <c r="T36" s="667" t="s">
        <v>14</v>
      </c>
      <c r="U36" s="668">
        <f t="shared" si="13"/>
        <v>100</v>
      </c>
      <c r="V36" s="667" t="s">
        <v>14</v>
      </c>
      <c r="W36" s="668">
        <f t="shared" si="14"/>
        <v>100</v>
      </c>
      <c r="X36" s="1264"/>
      <c r="Y36" s="3408"/>
      <c r="Z36" s="1263" t="str">
        <f t="shared" si="15"/>
        <v>公共部分装修</v>
      </c>
      <c r="AA36" s="1263">
        <f t="shared" si="3"/>
        <v>1</v>
      </c>
      <c r="AB36" s="1263">
        <f t="shared" si="4"/>
        <v>1</v>
      </c>
      <c r="AC36" s="1811">
        <f t="shared" si="5"/>
        <v>1</v>
      </c>
    </row>
    <row r="37" spans="1:29" ht="15">
      <c r="A37" s="409"/>
      <c r="B37" s="364" t="s">
        <v>1786</v>
      </c>
      <c r="C37" s="411">
        <f>'数据-取费表'!N6</f>
        <v>0.76</v>
      </c>
      <c r="D37" s="374">
        <v>100</v>
      </c>
      <c r="E37" s="411">
        <f>C37</f>
        <v>0.76</v>
      </c>
      <c r="F37" s="400">
        <f>LOOKUP(E37,111:111,112:112)-LOOKUP(C37,111:111,112:112)+100</f>
        <v>100</v>
      </c>
      <c r="G37" s="411">
        <f>C37</f>
        <v>0.76</v>
      </c>
      <c r="H37" s="400">
        <f>LOOKUP(G37,111:111,112:112)-LOOKUP(C37,111:111,112:112)+100</f>
        <v>100</v>
      </c>
      <c r="I37" s="411">
        <f>C37</f>
        <v>0.76</v>
      </c>
      <c r="J37" s="374">
        <f>LOOKUP(I37,111:111,112:112)-LOOKUP(C37,111:111,112:112)+100</f>
        <v>100</v>
      </c>
      <c r="K37" s="538">
        <v>1</v>
      </c>
      <c r="L37" s="2490"/>
      <c r="M37" s="2485"/>
      <c r="N37" s="2485"/>
      <c r="O37" s="2485"/>
      <c r="P37" s="3406"/>
      <c r="Q37" s="1262" t="str">
        <f t="shared" si="11"/>
        <v>成新度</v>
      </c>
      <c r="R37" s="667" t="s">
        <v>14</v>
      </c>
      <c r="S37" s="668">
        <f t="shared" si="12"/>
        <v>100</v>
      </c>
      <c r="T37" s="667" t="s">
        <v>14</v>
      </c>
      <c r="U37" s="668">
        <f t="shared" si="13"/>
        <v>100</v>
      </c>
      <c r="V37" s="667" t="s">
        <v>14</v>
      </c>
      <c r="W37" s="668">
        <f t="shared" si="14"/>
        <v>100</v>
      </c>
      <c r="X37" s="1264"/>
      <c r="Y37" s="3408"/>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
      <c r="A39" s="409"/>
      <c r="B39" s="364" t="s">
        <v>1819</v>
      </c>
      <c r="C39" s="399" t="s">
        <v>3485</v>
      </c>
      <c r="D39" s="374">
        <v>100</v>
      </c>
      <c r="E39" s="399" t="s">
        <v>3485</v>
      </c>
      <c r="F39" s="400">
        <f>SUMIF(115:115,E39,116:116)-SUMIF(115:115,C39,116:116)+100</f>
        <v>100</v>
      </c>
      <c r="G39" s="399" t="s">
        <v>3485</v>
      </c>
      <c r="H39" s="374">
        <f>SUMIF(115:115,G39,116:116)-SUMIF(115:115,C39,116:116)+100</f>
        <v>100</v>
      </c>
      <c r="I39" s="399" t="s">
        <v>3485</v>
      </c>
      <c r="J39" s="374">
        <f>SUMIF(115:115,I39,116:116)-SUMIF(115:115,C39,116:116)+100</f>
        <v>100</v>
      </c>
      <c r="K39" s="538">
        <v>2</v>
      </c>
      <c r="L39" s="2490"/>
      <c r="M39" s="2485"/>
      <c r="N39" s="2485"/>
      <c r="O39" s="2485"/>
      <c r="P39" s="3406" t="s">
        <v>1696</v>
      </c>
      <c r="Q39" s="1262" t="str">
        <f t="shared" si="11"/>
        <v>物业管理</v>
      </c>
      <c r="R39" s="667" t="s">
        <v>14</v>
      </c>
      <c r="S39" s="668">
        <f t="shared" si="12"/>
        <v>100</v>
      </c>
      <c r="T39" s="667" t="s">
        <v>14</v>
      </c>
      <c r="U39" s="668">
        <f t="shared" si="13"/>
        <v>100</v>
      </c>
      <c r="V39" s="667" t="s">
        <v>14</v>
      </c>
      <c r="W39" s="668">
        <f t="shared" si="14"/>
        <v>100</v>
      </c>
      <c r="X39" s="1264"/>
      <c r="Y39" s="3408" t="s">
        <v>1696</v>
      </c>
      <c r="Z39" s="1263" t="str">
        <f t="shared" si="15"/>
        <v>物业管理</v>
      </c>
      <c r="AA39" s="1263">
        <f t="shared" si="3"/>
        <v>1</v>
      </c>
      <c r="AB39" s="1263">
        <f t="shared" si="4"/>
        <v>1</v>
      </c>
      <c r="AC39" s="1811">
        <f t="shared" si="5"/>
        <v>1</v>
      </c>
    </row>
    <row r="40" spans="1:29" ht="15">
      <c r="A40" s="409"/>
      <c r="B40" s="364" t="s">
        <v>1787</v>
      </c>
      <c r="C40" s="399" t="s">
        <v>3454</v>
      </c>
      <c r="D40" s="374">
        <v>100</v>
      </c>
      <c r="E40" s="399" t="s">
        <v>3454</v>
      </c>
      <c r="F40" s="400">
        <f>SUMIF(117:117,E40,118:118)-SUMIF(117:117,C40,118:118)+100</f>
        <v>100</v>
      </c>
      <c r="G40" s="399" t="s">
        <v>3454</v>
      </c>
      <c r="H40" s="374">
        <f>SUMIF(117:117,G40,118:118)-SUMIF(117:117,C40,118:118)+100</f>
        <v>100</v>
      </c>
      <c r="I40" s="399" t="s">
        <v>3454</v>
      </c>
      <c r="J40" s="374">
        <f>SUMIF(117:117,I40,118:118)-SUMIF(117:117,C40,118:118)+100</f>
        <v>100</v>
      </c>
      <c r="K40" s="538">
        <v>1</v>
      </c>
      <c r="L40" s="2490"/>
      <c r="M40" s="2485"/>
      <c r="N40" s="2485"/>
      <c r="O40" s="2485"/>
      <c r="P40" s="3406"/>
      <c r="Q40" s="1262" t="str">
        <f t="shared" si="11"/>
        <v>市政基础设施</v>
      </c>
      <c r="R40" s="667" t="s">
        <v>14</v>
      </c>
      <c r="S40" s="668">
        <f t="shared" si="12"/>
        <v>100</v>
      </c>
      <c r="T40" s="667" t="s">
        <v>14</v>
      </c>
      <c r="U40" s="668">
        <f t="shared" si="13"/>
        <v>100</v>
      </c>
      <c r="V40" s="667" t="s">
        <v>14</v>
      </c>
      <c r="W40" s="668">
        <f t="shared" si="14"/>
        <v>100</v>
      </c>
      <c r="X40" s="1264"/>
      <c r="Y40" s="3408"/>
      <c r="Z40" s="1263" t="str">
        <f t="shared" si="15"/>
        <v>市政基础设施</v>
      </c>
      <c r="AA40" s="1263">
        <f t="shared" si="3"/>
        <v>1</v>
      </c>
      <c r="AB40" s="1263">
        <f t="shared" si="4"/>
        <v>1</v>
      </c>
      <c r="AC40" s="1811">
        <f t="shared" si="5"/>
        <v>1</v>
      </c>
    </row>
    <row r="41" spans="1:29" ht="15">
      <c r="A41" s="409"/>
      <c r="B41" s="364" t="s">
        <v>1789</v>
      </c>
      <c r="C41" s="542" t="s">
        <v>3492</v>
      </c>
      <c r="D41" s="374">
        <v>100</v>
      </c>
      <c r="E41" s="542" t="s">
        <v>3492</v>
      </c>
      <c r="F41" s="400">
        <f>SUMIF(119:119,E41,120:120)-SUMIF(119:119,C41,120:120)+100</f>
        <v>100</v>
      </c>
      <c r="G41" s="542" t="s">
        <v>3492</v>
      </c>
      <c r="H41" s="374">
        <f>SUMIF(119:119,G41,120:120)-SUMIF(119:119,C41,120:120)+100</f>
        <v>100</v>
      </c>
      <c r="I41" s="542" t="s">
        <v>3492</v>
      </c>
      <c r="J41" s="374">
        <f>SUMIF(119:119,I41,120:120)-SUMIF(119:119,C41,120:120)+100</f>
        <v>100</v>
      </c>
      <c r="K41" s="538">
        <v>10</v>
      </c>
      <c r="L41" s="2490"/>
      <c r="M41" s="2485"/>
      <c r="N41" s="2485"/>
      <c r="O41" s="2485"/>
      <c r="P41" s="3406"/>
      <c r="Q41" s="1262" t="str">
        <f t="shared" si="11"/>
        <v>层高</v>
      </c>
      <c r="R41" s="667" t="s">
        <v>14</v>
      </c>
      <c r="S41" s="668">
        <f t="shared" si="12"/>
        <v>100</v>
      </c>
      <c r="T41" s="667" t="s">
        <v>14</v>
      </c>
      <c r="U41" s="668">
        <f t="shared" si="13"/>
        <v>100</v>
      </c>
      <c r="V41" s="667" t="s">
        <v>14</v>
      </c>
      <c r="W41" s="668">
        <f t="shared" si="14"/>
        <v>100</v>
      </c>
      <c r="X41" s="1264"/>
      <c r="Y41" s="3408"/>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3">
        <f t="shared" si="3"/>
        <v>1</v>
      </c>
      <c r="AB42" s="1263">
        <f t="shared" si="4"/>
        <v>1</v>
      </c>
      <c r="AC42" s="1811">
        <f t="shared" si="5"/>
        <v>1</v>
      </c>
    </row>
    <row r="43" spans="1:29" ht="15">
      <c r="A43" s="409"/>
      <c r="B43" s="364" t="s">
        <v>1792</v>
      </c>
      <c r="C43" s="399" t="s">
        <v>3496</v>
      </c>
      <c r="D43" s="374">
        <v>100</v>
      </c>
      <c r="E43" s="399" t="s">
        <v>3496</v>
      </c>
      <c r="F43" s="400">
        <f>SUMIF(123:123,E43,124:124)-SUMIF(123:123,C43,124:124)+100</f>
        <v>100</v>
      </c>
      <c r="G43" s="399" t="s">
        <v>3498</v>
      </c>
      <c r="H43" s="374">
        <f>SUMIF(123:123,G43,124:124)-SUMIF(123:123,C43,124:124)+100</f>
        <v>98</v>
      </c>
      <c r="I43" s="399" t="s">
        <v>3496</v>
      </c>
      <c r="J43" s="374">
        <f>SUMIF(123:123,I43,124:124)-SUMIF(123:123,C43,124:124)+100</f>
        <v>100</v>
      </c>
      <c r="K43" s="538">
        <v>2</v>
      </c>
      <c r="L43" s="2490"/>
      <c r="M43" s="2485"/>
      <c r="N43" s="2485"/>
      <c r="O43" s="2485"/>
      <c r="P43" s="3406"/>
      <c r="Q43" s="1262" t="str">
        <f t="shared" si="11"/>
        <v>内部装修</v>
      </c>
      <c r="R43" s="667" t="s">
        <v>14</v>
      </c>
      <c r="S43" s="668">
        <f t="shared" si="12"/>
        <v>100</v>
      </c>
      <c r="T43" s="667" t="s">
        <v>14</v>
      </c>
      <c r="U43" s="668">
        <f t="shared" si="13"/>
        <v>98</v>
      </c>
      <c r="V43" s="667" t="s">
        <v>14</v>
      </c>
      <c r="W43" s="668">
        <f t="shared" si="14"/>
        <v>100</v>
      </c>
      <c r="X43" s="1264"/>
      <c r="Y43" s="3408"/>
      <c r="Z43" s="1263" t="str">
        <f t="shared" si="15"/>
        <v>内部装修</v>
      </c>
      <c r="AA43" s="1263">
        <f t="shared" si="3"/>
        <v>1</v>
      </c>
      <c r="AB43" s="1263">
        <f t="shared" si="4"/>
        <v>1.0204081632653061</v>
      </c>
      <c r="AC43" s="1811">
        <f t="shared" si="5"/>
        <v>1</v>
      </c>
    </row>
    <row r="44" spans="1:29" ht="28.8">
      <c r="A44" s="409"/>
      <c r="B44" s="364" t="s">
        <v>1707</v>
      </c>
      <c r="C44" s="399" t="s">
        <v>3453</v>
      </c>
      <c r="D44" s="374">
        <v>100</v>
      </c>
      <c r="E44" s="1759" t="s">
        <v>3453</v>
      </c>
      <c r="F44" s="400">
        <f>SUMIF(125:125,E44,126:126)-SUMIF(125:125,C44,126:126)+100</f>
        <v>100</v>
      </c>
      <c r="G44" s="1759" t="s">
        <v>3453</v>
      </c>
      <c r="H44" s="374">
        <f>SUMIF(125:125,G44,126:126)-SUMIF(125:125,C44,126:126)+100</f>
        <v>100</v>
      </c>
      <c r="I44" s="1759" t="s">
        <v>3453</v>
      </c>
      <c r="J44" s="374">
        <f>SUMIF(125:125,I44,126:126)-SUMIF(125:125,C44,126:126)+100</f>
        <v>100</v>
      </c>
      <c r="K44" s="538">
        <v>2</v>
      </c>
      <c r="L44" s="2490"/>
      <c r="M44" s="2485"/>
      <c r="N44" s="2485"/>
      <c r="O44" s="2485"/>
      <c r="P44" s="3406"/>
      <c r="Q44" s="1262" t="str">
        <f t="shared" si="11"/>
        <v>内部装修维护情况</v>
      </c>
      <c r="R44" s="667" t="s">
        <v>14</v>
      </c>
      <c r="S44" s="668">
        <f t="shared" si="12"/>
        <v>100</v>
      </c>
      <c r="T44" s="667" t="s">
        <v>14</v>
      </c>
      <c r="U44" s="668">
        <f t="shared" si="13"/>
        <v>100</v>
      </c>
      <c r="V44" s="667" t="s">
        <v>14</v>
      </c>
      <c r="W44" s="668">
        <f t="shared" si="14"/>
        <v>100</v>
      </c>
      <c r="X44" s="1264"/>
      <c r="Y44" s="3408"/>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6"/>
      <c r="Q46" s="1262">
        <f t="shared" si="11"/>
        <v>111</v>
      </c>
      <c r="R46" s="667" t="s">
        <v>14</v>
      </c>
      <c r="S46" s="668">
        <f t="shared" si="12"/>
        <v>100</v>
      </c>
      <c r="T46" s="667" t="s">
        <v>14</v>
      </c>
      <c r="U46" s="668">
        <f t="shared" si="13"/>
        <v>100</v>
      </c>
      <c r="V46" s="667" t="s">
        <v>14</v>
      </c>
      <c r="W46" s="668">
        <f t="shared" si="14"/>
        <v>100</v>
      </c>
      <c r="X46" s="1264"/>
      <c r="Y46" s="3408"/>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7"/>
      <c r="Q47" s="1262">
        <f t="shared" si="11"/>
        <v>111</v>
      </c>
      <c r="R47" s="667" t="s">
        <v>14</v>
      </c>
      <c r="S47" s="668">
        <f t="shared" si="12"/>
        <v>100</v>
      </c>
      <c r="T47" s="667" t="s">
        <v>14</v>
      </c>
      <c r="U47" s="668">
        <f t="shared" si="13"/>
        <v>100</v>
      </c>
      <c r="V47" s="667" t="s">
        <v>14</v>
      </c>
      <c r="W47" s="668">
        <f t="shared" si="14"/>
        <v>100</v>
      </c>
      <c r="X47" s="1264"/>
      <c r="Y47" s="3409"/>
      <c r="Z47" s="1263">
        <f t="shared" si="15"/>
        <v>111</v>
      </c>
      <c r="AA47" s="1263">
        <f t="shared" si="3"/>
        <v>1</v>
      </c>
      <c r="AB47" s="1263">
        <f t="shared" si="4"/>
        <v>1</v>
      </c>
      <c r="AC47" s="1811">
        <f t="shared" si="5"/>
        <v>1</v>
      </c>
    </row>
    <row r="48" spans="1:29" ht="14.4">
      <c r="A48" s="416" t="s">
        <v>1708</v>
      </c>
      <c r="B48" s="417"/>
      <c r="C48" s="1081" t="s">
        <v>0</v>
      </c>
      <c r="D48" s="418"/>
      <c r="E48" s="419">
        <f>案例!L15</f>
        <v>33746</v>
      </c>
      <c r="F48" s="420"/>
      <c r="G48" s="421">
        <f>案例!L16</f>
        <v>30594</v>
      </c>
      <c r="H48" s="422"/>
      <c r="I48" s="419">
        <f>案例!L17</f>
        <v>31500</v>
      </c>
      <c r="J48" s="422"/>
      <c r="K48" s="674"/>
      <c r="L48" s="2492"/>
      <c r="M48" s="2485"/>
      <c r="N48" s="2485"/>
      <c r="O48" s="2485"/>
      <c r="P48" s="3381" t="str">
        <f>A48</f>
        <v>成交单价（元/平方米）</v>
      </c>
      <c r="Q48" s="3410"/>
      <c r="R48" s="3398">
        <f>E48</f>
        <v>33746</v>
      </c>
      <c r="S48" s="3398"/>
      <c r="T48" s="3398">
        <f>G48</f>
        <v>30594</v>
      </c>
      <c r="U48" s="3398"/>
      <c r="V48" s="3398">
        <f>I48</f>
        <v>31500</v>
      </c>
      <c r="W48" s="3398"/>
      <c r="X48" s="385"/>
      <c r="Y48" s="673"/>
      <c r="Z48" s="385"/>
      <c r="AA48" s="385"/>
      <c r="AB48" s="385"/>
      <c r="AC48" s="555"/>
    </row>
    <row r="49" spans="1:29" ht="15" thickBot="1">
      <c r="A49" s="423" t="s">
        <v>1793</v>
      </c>
      <c r="B49" s="424"/>
      <c r="C49" s="1082">
        <f>R50</f>
        <v>31865</v>
      </c>
      <c r="D49" s="2140" t="s">
        <v>2135</v>
      </c>
      <c r="E49" s="1083">
        <f>R49</f>
        <v>34108</v>
      </c>
      <c r="F49" s="2141"/>
      <c r="G49" s="1082">
        <f>T49</f>
        <v>30606</v>
      </c>
      <c r="H49" s="2141"/>
      <c r="I49" s="1083">
        <f>V49</f>
        <v>30882</v>
      </c>
      <c r="J49" s="2141"/>
      <c r="K49" s="2143">
        <f>F49+H49+J49</f>
        <v>0</v>
      </c>
      <c r="L49" s="2492"/>
      <c r="M49" s="2485"/>
      <c r="N49" s="2485"/>
      <c r="O49" s="2485"/>
      <c r="P49" s="3381" t="str">
        <f>A49</f>
        <v>比较价值（元/平方米）</v>
      </c>
      <c r="Q49" s="3410"/>
      <c r="R49" s="3398">
        <f>IF(F1="售价",ROUND(PRODUCT(R48,AA7:AA47),0),ROUND(PRODUCT(R48,AA7:AA47),1))</f>
        <v>34108</v>
      </c>
      <c r="S49" s="3398"/>
      <c r="T49" s="3398">
        <f>IF(F1="售价",ROUND(PRODUCT(T48,AB7:AB47),0),ROUND(PRODUCT(T48,AB7:AB47),1))</f>
        <v>30606</v>
      </c>
      <c r="U49" s="3398"/>
      <c r="V49" s="3398">
        <f>IF(F1="售价",ROUND(PRODUCT(V48,AC7:AC47),0),ROUND(PRODUCT(V48,AC7:AC47),1))</f>
        <v>30882</v>
      </c>
      <c r="W49" s="3398"/>
      <c r="X49" s="385"/>
      <c r="Y49" s="385"/>
      <c r="Z49" s="385"/>
      <c r="AA49" s="385"/>
      <c r="AB49" s="385"/>
      <c r="AC49" s="555"/>
    </row>
    <row r="50" spans="1:29" ht="15" thickBot="1">
      <c r="A50" s="427" t="s">
        <v>1794</v>
      </c>
      <c r="B50" s="428"/>
      <c r="C50" s="351">
        <f>R50</f>
        <v>31865</v>
      </c>
      <c r="D50" s="351"/>
      <c r="E50" s="351"/>
      <c r="F50" s="351"/>
      <c r="G50" s="351"/>
      <c r="H50" s="351"/>
      <c r="I50" s="351"/>
      <c r="J50" s="429"/>
      <c r="K50" s="675"/>
      <c r="L50" s="2492"/>
      <c r="M50" s="2485"/>
      <c r="N50" s="2485"/>
      <c r="O50" s="2485"/>
      <c r="P50" s="3411" t="str">
        <f>A50</f>
        <v>估价对象XX用房的比较价值（楼面单价，元/平方米）</v>
      </c>
      <c r="Q50" s="3412"/>
      <c r="R50" s="3413">
        <f>IF(F1="售价",ROUND(IF(D49="简单平均",AVERAGE(R49:V49),R49*F49+T49*H49+V49*J49),0),ROUND(IF(D49="简单平均",AVERAGE(R49:V49),R49*F49+T49*H49+V49*J49),1))</f>
        <v>31865</v>
      </c>
      <c r="S50" s="3413"/>
      <c r="T50" s="3413"/>
      <c r="U50" s="3413"/>
      <c r="V50" s="3413"/>
      <c r="W50" s="3413"/>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1.0727197297457414E-2</v>
      </c>
      <c r="F53" s="435" t="str">
        <f>IF(OR(E53&gt;=0.3,E53&lt;=-0.3),"超过30%","")</f>
        <v/>
      </c>
      <c r="G53" s="434">
        <f>IF(G48&lt;G49,G49/G48-1,G48/G49-1)</f>
        <v>3.9223377132779902E-4</v>
      </c>
      <c r="H53" s="435" t="str">
        <f>IF(OR(G53&gt;=0.3,G53&lt;=-0.3),"超过30%","")</f>
        <v/>
      </c>
      <c r="I53" s="434">
        <f>IF(I48&lt;I49,I49/I48-1,I48/I49-1)</f>
        <v>2.0011657276083117E-2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0.11442200875645292</v>
      </c>
      <c r="F54" s="435" t="str">
        <f>IF(OR(E54&gt;=0.2,E54&lt;=-0.2),"超过20%","")</f>
        <v/>
      </c>
      <c r="G54" s="434">
        <f>IF(G49&lt;I49,I49/G49-1,G49/I49-1)</f>
        <v>9.0178396392863736E-3</v>
      </c>
      <c r="H54" s="435" t="str">
        <f>IF(OR(G54&gt;=0.2,G54&lt;=-0.2),"超过20%","")</f>
        <v/>
      </c>
      <c r="I54" s="434">
        <f>IF(I49&lt;E49,E49/I49-1,I49/E49-1)</f>
        <v>0.10446214623405226</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0.10302673726874545</v>
      </c>
      <c r="F55" s="435" t="str">
        <f>IF(OR(E55&gt;=0.3,E55&lt;=-0.3),"超过30%","")</f>
        <v/>
      </c>
      <c r="G55" s="434">
        <f>IF(G48&lt;I48,I48/G48-1,G48/I48-1)</f>
        <v>2.9613649735242165E-2</v>
      </c>
      <c r="H55" s="435" t="str">
        <f>IF(OR(G55&gt;=0.3,G55&lt;=-0.3),"超过30%","")</f>
        <v/>
      </c>
      <c r="I55" s="434">
        <f>IF(I48&lt;E48,E48/I48-1,I48/E48-1)</f>
        <v>7.1301587301587199E-2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56" t="s">
        <v>3502</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综合</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3169" t="s">
        <v>3533</v>
      </c>
      <c r="D66" s="3170" t="s">
        <v>3534</v>
      </c>
      <c r="E66" s="3170" t="s">
        <v>3535</v>
      </c>
      <c r="F66" s="3169" t="s">
        <v>3536</v>
      </c>
      <c r="G66" s="3169" t="s">
        <v>3537</v>
      </c>
      <c r="H66" s="3169" t="s">
        <v>3538</v>
      </c>
      <c r="I66" s="3169" t="s">
        <v>3539</v>
      </c>
      <c r="J66" s="3169" t="s">
        <v>3540</v>
      </c>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3171">
        <v>65</v>
      </c>
      <c r="D67" s="3171">
        <v>70</v>
      </c>
      <c r="E67" s="3171">
        <v>75</v>
      </c>
      <c r="F67" s="3171">
        <v>80</v>
      </c>
      <c r="G67" s="3171">
        <v>85</v>
      </c>
      <c r="H67" s="3171">
        <v>90</v>
      </c>
      <c r="I67" s="3171">
        <v>95</v>
      </c>
      <c r="J67" s="3171">
        <v>100</v>
      </c>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4" t="s">
        <v>3503</v>
      </c>
      <c r="D89" s="3154" t="s">
        <v>3504</v>
      </c>
      <c r="E89" s="3154" t="s">
        <v>3505</v>
      </c>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3" t="s">
        <v>3483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3">D104&amp;"(含)"&amp;"-"&amp;E104</f>
        <v>100(含)-300</v>
      </c>
      <c r="E103" s="509" t="str">
        <f t="shared" si="23"/>
        <v>300(含)-500</v>
      </c>
      <c r="F103" s="509" t="str">
        <f t="shared" si="23"/>
        <v>500(含)-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98</v>
      </c>
      <c r="D105" s="467">
        <v>99</v>
      </c>
      <c r="E105" s="467">
        <v>100</v>
      </c>
      <c r="F105" s="467">
        <f t="shared" ref="F105" si="24">E105-1</f>
        <v>99</v>
      </c>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4" t="s">
        <v>3484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4" t="s">
        <v>3495</v>
      </c>
      <c r="D108" s="3154" t="s">
        <v>3497</v>
      </c>
      <c r="E108" s="3154" t="s">
        <v>3499</v>
      </c>
      <c r="F108" s="3155" t="s">
        <v>3500</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4" t="s">
        <v>3486</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4" t="s">
        <v>3487</v>
      </c>
      <c r="D117" s="3154" t="s">
        <v>3488</v>
      </c>
      <c r="E117" s="3154" t="s">
        <v>3489</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5" t="s">
        <v>3491</v>
      </c>
      <c r="D119" s="3155" t="s">
        <v>3493</v>
      </c>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90</v>
      </c>
      <c r="E120" s="475">
        <f t="shared" ref="E120:M120" si="30">D120-$K41</f>
        <v>80</v>
      </c>
      <c r="F120" s="475">
        <f t="shared" si="30"/>
        <v>70</v>
      </c>
      <c r="G120" s="475">
        <f t="shared" si="30"/>
        <v>60</v>
      </c>
      <c r="H120" s="475">
        <f t="shared" si="30"/>
        <v>50</v>
      </c>
      <c r="I120" s="475">
        <f t="shared" si="30"/>
        <v>40</v>
      </c>
      <c r="J120" s="475">
        <f t="shared" si="30"/>
        <v>30</v>
      </c>
      <c r="K120" s="475">
        <f t="shared" si="30"/>
        <v>20</v>
      </c>
      <c r="L120" s="475">
        <f t="shared" si="30"/>
        <v>10</v>
      </c>
      <c r="M120" s="475">
        <f t="shared" si="30"/>
        <v>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4" t="s">
        <v>3495</v>
      </c>
      <c r="D123" s="3154" t="s">
        <v>3497</v>
      </c>
      <c r="E123" s="3154" t="s">
        <v>3499</v>
      </c>
      <c r="F123" s="3155" t="s">
        <v>3500</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M40" zoomScale="85" zoomScaleNormal="70" zoomScaleSheetLayoutView="85" workbookViewId="0">
      <selection activeCell="J33" sqref="J3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v>1511</v>
      </c>
      <c r="D1" s="1270" t="s">
        <v>43</v>
      </c>
      <c r="E1" s="1271" t="s">
        <v>678</v>
      </c>
      <c r="F1" s="999">
        <f ca="1">J53</f>
        <v>28</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357.4246</v>
      </c>
      <c r="C2" s="1288" t="s">
        <v>879</v>
      </c>
      <c r="D2" s="1374">
        <f ca="1">C40+J29+L46</f>
        <v>3574246</v>
      </c>
      <c r="E2" s="1294" t="s">
        <v>880</v>
      </c>
      <c r="F2" s="1295"/>
      <c r="G2" s="2476"/>
      <c r="H2" s="2466"/>
      <c r="I2" s="2466"/>
      <c r="J2" s="2466"/>
      <c r="K2" s="2467"/>
      <c r="L2" s="2466"/>
      <c r="M2" s="2466"/>
    </row>
    <row r="3" spans="1:37" ht="18" customHeight="1" thickBot="1">
      <c r="A3" s="1296" t="s">
        <v>881</v>
      </c>
      <c r="B3" s="1297">
        <f ca="1">IF(ISERROR(D2/F43),0,ROUND(D2/F43,0))</f>
        <v>19912</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259773</v>
      </c>
      <c r="D5" s="1272" t="s">
        <v>889</v>
      </c>
      <c r="E5" s="1008"/>
      <c r="F5" s="1009"/>
      <c r="G5" s="1291"/>
      <c r="H5" s="291">
        <v>1</v>
      </c>
      <c r="I5" s="292" t="s">
        <v>888</v>
      </c>
      <c r="J5" s="1007">
        <f ca="1">J6+J10+J12</f>
        <v>0</v>
      </c>
      <c r="K5" s="1272" t="s">
        <v>889</v>
      </c>
      <c r="L5" s="1008"/>
      <c r="M5" s="1009"/>
    </row>
    <row r="6" spans="1:37" ht="18" customHeight="1">
      <c r="A6" s="1006" t="s">
        <v>398</v>
      </c>
      <c r="B6" s="3360" t="s">
        <v>694</v>
      </c>
      <c r="C6" s="1011">
        <f ca="1">ROUND(F6*F8*F7*(1-F9),0)</f>
        <v>259449</v>
      </c>
      <c r="D6" s="147" t="s">
        <v>2103</v>
      </c>
      <c r="E6" s="294" t="s">
        <v>696</v>
      </c>
      <c r="F6" s="295">
        <f ca="1">INDIRECT("'数据-取费表'!u"&amp;$G$1)</f>
        <v>4.4000000000000004</v>
      </c>
      <c r="G6" s="1291"/>
      <c r="H6" s="1006" t="s">
        <v>398</v>
      </c>
      <c r="I6" s="3360" t="s">
        <v>694</v>
      </c>
      <c r="J6" s="293">
        <f ca="1">ROUND(M6*M8*M7*(1-M9),0)</f>
        <v>0</v>
      </c>
      <c r="K6" s="1283" t="s">
        <v>2104</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179.5</v>
      </c>
      <c r="G7" s="1291"/>
      <c r="H7" s="296"/>
      <c r="I7" s="3361"/>
      <c r="J7" s="298"/>
      <c r="K7" s="299"/>
      <c r="L7" s="294" t="s">
        <v>697</v>
      </c>
      <c r="M7" s="295">
        <f ca="1">F7</f>
        <v>179.5</v>
      </c>
    </row>
    <row r="8" spans="1:37" ht="18" customHeight="1">
      <c r="A8" s="296"/>
      <c r="B8" s="3361"/>
      <c r="C8" s="298"/>
      <c r="D8" s="299"/>
      <c r="E8" s="294" t="s">
        <v>698</v>
      </c>
      <c r="F8" s="295">
        <f ca="1">INDIRECT("'数据-取费表'!ai"&amp;$G$1)</f>
        <v>365</v>
      </c>
      <c r="G8" s="1291"/>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1"/>
      <c r="H9" s="296"/>
      <c r="I9" s="3362"/>
      <c r="J9" s="298"/>
      <c r="K9" s="299"/>
      <c r="L9" s="305" t="s">
        <v>699</v>
      </c>
      <c r="M9" s="306">
        <f ca="1">INDIRECT("'数据-取费表'!ab"&amp;$G$1)</f>
        <v>0</v>
      </c>
    </row>
    <row r="10" spans="1:37" ht="18" customHeight="1">
      <c r="A10" s="1006" t="s">
        <v>402</v>
      </c>
      <c r="B10" s="1273" t="s">
        <v>700</v>
      </c>
      <c r="C10" s="308">
        <f ca="1">ROUND(IF(F10="押一",C6/12*F11,IF(F10="押二",C6/12*2*F11,IF(F10="押三",C6/12*3*F11,C11*F11))),0)</f>
        <v>324</v>
      </c>
      <c r="D10" s="150" t="s">
        <v>2113</v>
      </c>
      <c r="E10" s="305" t="s">
        <v>701</v>
      </c>
      <c r="F10" s="1053" t="s">
        <v>3445</v>
      </c>
      <c r="G10" s="1291"/>
      <c r="H10" s="1006" t="s">
        <v>402</v>
      </c>
      <c r="I10" s="1273" t="s">
        <v>700</v>
      </c>
      <c r="J10" s="293">
        <f ca="1">ROUND(IF(M10="押一",J6/12*M11,IF(M10="押二",J6/12*2*M11,IF(M10="押三",J6/12*3*M11,J11*M11))),0)</f>
        <v>0</v>
      </c>
      <c r="K10" s="1284" t="s">
        <v>2115</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884781</v>
      </c>
      <c r="D13" s="1018" t="s">
        <v>705</v>
      </c>
      <c r="E13" s="1018" t="s">
        <v>706</v>
      </c>
      <c r="F13" s="1019">
        <f ca="1">INDIRECT("'数据-取费表'!y"&amp;$G$1)</f>
        <v>0.76</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807750</v>
      </c>
      <c r="D14" s="1256" t="s">
        <v>708</v>
      </c>
      <c r="E14" s="1254"/>
      <c r="F14" s="311"/>
      <c r="G14" s="1291"/>
      <c r="H14" s="928" t="s">
        <v>398</v>
      </c>
      <c r="I14" s="294" t="s">
        <v>709</v>
      </c>
      <c r="J14" s="21">
        <f ca="1">C29</f>
        <v>1164186</v>
      </c>
      <c r="K14" s="12"/>
      <c r="L14" s="759"/>
      <c r="M14" s="760"/>
    </row>
    <row r="15" spans="1:37" s="1303" customFormat="1" ht="18" customHeight="1" thickBot="1">
      <c r="A15" s="928" t="s">
        <v>399</v>
      </c>
      <c r="B15" s="294" t="s">
        <v>710</v>
      </c>
      <c r="C15" s="21">
        <f ca="1">ROUND(C14*F15,0)</f>
        <v>32310</v>
      </c>
      <c r="D15" s="312" t="s">
        <v>711</v>
      </c>
      <c r="E15" s="312" t="s">
        <v>712</v>
      </c>
      <c r="F15" s="313">
        <f>'数据-取费表'!B33</f>
        <v>0.04</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11642</v>
      </c>
      <c r="K16" s="1024" t="s">
        <v>715</v>
      </c>
      <c r="L16" s="1025"/>
      <c r="M16" s="1009"/>
    </row>
    <row r="17" spans="1:37" s="1303" customFormat="1" ht="18" customHeight="1">
      <c r="A17" s="928" t="s">
        <v>681</v>
      </c>
      <c r="B17" s="294" t="s">
        <v>716</v>
      </c>
      <c r="C17" s="21">
        <f ca="1">ROUND(F17*(F43+INDIRECT("'数据-取费表'!S"&amp;$G$1)),0)</f>
        <v>35900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16155</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892115</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17842</v>
      </c>
      <c r="D20" s="315" t="s">
        <v>729</v>
      </c>
      <c r="E20" s="294" t="s">
        <v>712</v>
      </c>
      <c r="F20" s="314">
        <f>'数据-取费表'!B37</f>
        <v>0.02</v>
      </c>
      <c r="G20" s="1302"/>
      <c r="H20" s="928" t="s">
        <v>680</v>
      </c>
      <c r="I20" s="147" t="s">
        <v>730</v>
      </c>
      <c r="J20" s="22">
        <f ca="1">ROUND(M20*M21,0)</f>
        <v>0</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11642</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28209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-11642</v>
      </c>
      <c r="K25" s="1032" t="s">
        <v>753</v>
      </c>
      <c r="L25" s="1033"/>
      <c r="M25" s="1034"/>
    </row>
    <row r="26" spans="1:37" ht="18" customHeight="1">
      <c r="A26" s="928" t="s">
        <v>397</v>
      </c>
      <c r="B26" s="294" t="s">
        <v>754</v>
      </c>
      <c r="C26" s="21">
        <f ca="1">ROUND((C19+C20)*F26,0)</f>
        <v>136494</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1164186</v>
      </c>
      <c r="D29" s="1029"/>
      <c r="E29" s="1027"/>
      <c r="F29" s="1030"/>
      <c r="G29" s="1302"/>
      <c r="H29" s="325" t="s">
        <v>396</v>
      </c>
      <c r="I29" s="326" t="s">
        <v>768</v>
      </c>
      <c r="J29" s="327">
        <f ca="1">ROUND(J26/(1+F40)^F41,0)</f>
        <v>0</v>
      </c>
      <c r="K29" s="328" t="s">
        <v>769</v>
      </c>
      <c r="L29" s="329"/>
      <c r="M29" s="330">
        <f ca="1">INDIRECT("'数据-取费表'!k"&amp;$G$1)</f>
        <v>179.5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58613</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ROUND(IF(AND(项目基本情况!B11="自然人",项目基本情况!B10="北京市"),C6*F31/(1+'数据-取费表'!C42),C32+C33+C34),0)</f>
        <v>43488</v>
      </c>
      <c r="D31" s="1256" t="s">
        <v>720</v>
      </c>
      <c r="E31" s="1255" t="s">
        <v>770</v>
      </c>
      <c r="F31" s="2138" t="str">
        <f>IF(项目基本情况!B11="企业","——",IF(M47="住宅",IF(F6*F7*F8/12/(1+'数据-取费表'!F30)&gt;100000,4%,2.5%),IF(F6*F7*F8/12/(1+'数据-取费表'!F30)&gt;100000,12%,7%)))</f>
        <v>——</v>
      </c>
      <c r="G31" s="1291"/>
      <c r="H31" s="2567" t="s">
        <v>2305</v>
      </c>
      <c r="I31" s="1304"/>
      <c r="J31" s="1305"/>
      <c r="K31" s="121"/>
      <c r="L31" s="2469"/>
      <c r="M31" s="2470"/>
    </row>
    <row r="32" spans="1:37" ht="18" customHeight="1">
      <c r="A32" s="928" t="s">
        <v>397</v>
      </c>
      <c r="B32" s="294" t="s">
        <v>723</v>
      </c>
      <c r="C32" s="21">
        <f ca="1">IF(项目基本情况!B11="自然人","——",ROUND(C6*F32/(1+'数据-取费表'!C42),0))</f>
        <v>13837</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29651</v>
      </c>
      <c r="D33" s="1277" t="s">
        <v>3335</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IF(项目基本情况!B11="自然人","——",ROUND(F34*F35,0))</f>
        <v>0</v>
      </c>
      <c r="D34" s="316" t="s">
        <v>731</v>
      </c>
      <c r="E34" s="294" t="s">
        <v>732</v>
      </c>
      <c r="F34" s="317">
        <f>'数据-取费表'!B52</f>
        <v>12</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11642</v>
      </c>
      <c r="D36" s="1255" t="s">
        <v>771</v>
      </c>
      <c r="E36" s="294" t="s">
        <v>712</v>
      </c>
      <c r="F36" s="320">
        <f ca="1">INDIRECT("'数据-取费表'!Ak"&amp;$G$1)</f>
        <v>0.01</v>
      </c>
      <c r="G36" s="1291"/>
      <c r="H36" s="2471"/>
      <c r="I36" s="1304"/>
      <c r="J36" s="1305"/>
      <c r="K36" s="2329"/>
      <c r="L36" s="2471"/>
      <c r="M36" s="2471"/>
    </row>
    <row r="37" spans="1:18" ht="18" customHeight="1">
      <c r="A37" s="928" t="s">
        <v>437</v>
      </c>
      <c r="B37" s="294" t="s">
        <v>742</v>
      </c>
      <c r="C37" s="21">
        <f ca="1">ROUND(C13*F37,0)</f>
        <v>885</v>
      </c>
      <c r="D37" s="1255" t="s">
        <v>743</v>
      </c>
      <c r="E37" s="294" t="s">
        <v>744</v>
      </c>
      <c r="F37" s="321">
        <f ca="1">INDIRECT("'数据-取费表'!Al"&amp;$G$1)</f>
        <v>1E-3</v>
      </c>
      <c r="G37" s="1291"/>
      <c r="H37" s="2471"/>
      <c r="I37" s="1304"/>
      <c r="J37" s="1305"/>
      <c r="K37" s="2329"/>
      <c r="L37" s="2471"/>
      <c r="M37" s="2471"/>
    </row>
    <row r="38" spans="1:18" ht="18" customHeight="1" thickBot="1">
      <c r="A38" s="1026" t="s">
        <v>684</v>
      </c>
      <c r="B38" s="1027" t="s">
        <v>728</v>
      </c>
      <c r="C38" s="1028">
        <f ca="1">ROUND(C5*F38,0)</f>
        <v>2598</v>
      </c>
      <c r="D38" s="1029" t="s">
        <v>748</v>
      </c>
      <c r="E38" s="1027" t="s">
        <v>744</v>
      </c>
      <c r="F38" s="1023">
        <f ca="1">INDIRECT("'数据-取费表'!Am"&amp;$G$1)</f>
        <v>0.01</v>
      </c>
      <c r="G38" s="1291"/>
      <c r="H38" s="2471"/>
      <c r="I38" s="1304"/>
      <c r="J38" s="1305"/>
      <c r="K38" s="2469"/>
      <c r="L38" s="2471"/>
      <c r="M38" s="2471"/>
    </row>
    <row r="39" spans="1:18" ht="24.6" customHeight="1" thickTop="1">
      <c r="A39" s="1016" t="s">
        <v>394</v>
      </c>
      <c r="B39" s="1031" t="s">
        <v>772</v>
      </c>
      <c r="C39" s="302">
        <f ca="1">C5-C30</f>
        <v>201160</v>
      </c>
      <c r="D39" s="1032" t="s">
        <v>773</v>
      </c>
      <c r="E39" s="1033"/>
      <c r="F39" s="1034"/>
      <c r="G39" s="1291"/>
      <c r="H39" s="2471"/>
      <c r="I39" s="1304"/>
      <c r="J39" s="1305"/>
      <c r="K39" s="2469"/>
      <c r="L39" s="2471"/>
      <c r="M39" s="2471"/>
    </row>
    <row r="40" spans="1:18" ht="18" customHeight="1">
      <c r="A40" s="291" t="s">
        <v>395</v>
      </c>
      <c r="B40" s="292" t="s">
        <v>774</v>
      </c>
      <c r="C40" s="293">
        <f ca="1">ROUND(C39*(1-((1+F42)/(1+F40))^F41)/(F40-F42),0)</f>
        <v>3512779</v>
      </c>
      <c r="D40" s="316" t="s">
        <v>758</v>
      </c>
      <c r="E40" s="294" t="s">
        <v>759</v>
      </c>
      <c r="F40" s="304">
        <f ca="1">INDIRECT("'数据-取费表'!I"&amp;$G$1)</f>
        <v>5.5E-2</v>
      </c>
      <c r="G40" s="1291"/>
      <c r="H40" s="1365">
        <f ca="1">C39/C5</f>
        <v>0.77436839086433151</v>
      </c>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28</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19570</v>
      </c>
      <c r="D43" s="328" t="s">
        <v>777</v>
      </c>
      <c r="E43" s="329" t="s">
        <v>778</v>
      </c>
      <c r="F43" s="330">
        <f ca="1">INDIRECT("'数据-取费表'!k"&amp;$G$1)</f>
        <v>179.5</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3351</v>
      </c>
      <c r="B45" s="1306"/>
      <c r="C45" s="1375">
        <f ca="1">ROUND((C68-C40)/10000,4)</f>
        <v>-368.96780000000001</v>
      </c>
      <c r="D45" s="3128" t="s">
        <v>3352</v>
      </c>
      <c r="E45" s="1306"/>
      <c r="F45" s="1306"/>
      <c r="O45" s="1309" t="s">
        <v>808</v>
      </c>
      <c r="P45" s="1365"/>
      <c r="Q45" s="1365"/>
      <c r="R45" s="1365"/>
    </row>
    <row r="46" spans="1:18" s="1291" customFormat="1" ht="13.8" thickBot="1">
      <c r="A46" s="1310" t="s">
        <v>809</v>
      </c>
      <c r="C46" s="1311">
        <f ca="1">ROUND(C45,0)</f>
        <v>-369</v>
      </c>
      <c r="D46" s="1312" t="str">
        <f>C2</f>
        <v>万元</v>
      </c>
      <c r="I46" s="1313" t="s">
        <v>810</v>
      </c>
      <c r="J46" s="1314"/>
      <c r="K46" s="1315"/>
      <c r="L46" s="1316">
        <f ca="1">IF(M47="住宅",0,IF(L48&gt;J51,L60,J60))</f>
        <v>61467</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t="s">
        <v>3416</v>
      </c>
      <c r="K47" s="1322" t="s">
        <v>816</v>
      </c>
      <c r="L47" s="1323">
        <f ca="1">INDIRECT("'数据-取费表'!d"&amp;$G$1)</f>
        <v>50</v>
      </c>
      <c r="M47" s="1287" t="str">
        <f>IF(ISNUMBER(FIND("住宅",C1)),"住宅","非住宅")</f>
        <v>非住宅</v>
      </c>
      <c r="O47" s="1324" t="s">
        <v>403</v>
      </c>
      <c r="P47" s="1325" t="s">
        <v>817</v>
      </c>
      <c r="Q47" s="1326">
        <f ca="1">C40+J29</f>
        <v>3512779</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3446</v>
      </c>
      <c r="K48" s="1329" t="s">
        <v>820</v>
      </c>
      <c r="L48" s="1330">
        <f ca="1">INDIRECT("'数据-取费表'!f"&amp;$G$1)</f>
        <v>28</v>
      </c>
      <c r="O48" s="1324" t="s">
        <v>404</v>
      </c>
      <c r="P48" s="1325" t="s">
        <v>821</v>
      </c>
      <c r="Q48" s="1326">
        <f ca="1">J60</f>
        <v>61467</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f>'数据-取费表'!L19</f>
        <v>2004</v>
      </c>
      <c r="K49" s="1329" t="s">
        <v>824</v>
      </c>
      <c r="L49" s="1332"/>
      <c r="O49" s="1333" t="s">
        <v>405</v>
      </c>
      <c r="P49" s="1325" t="s">
        <v>825</v>
      </c>
      <c r="Q49" s="1326">
        <f ca="1">C29</f>
        <v>1164186</v>
      </c>
      <c r="R49" s="1326" t="s">
        <v>818</v>
      </c>
    </row>
    <row r="50" spans="1:18" s="1291" customFormat="1" ht="13.8" thickBot="1">
      <c r="A50" s="922"/>
      <c r="B50" s="925"/>
      <c r="C50" s="926"/>
      <c r="D50" s="899"/>
      <c r="E50" s="993" t="s">
        <v>697</v>
      </c>
      <c r="F50" s="994">
        <f ca="1">F7</f>
        <v>179.5</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40</v>
      </c>
      <c r="K51" s="1338" t="s">
        <v>830</v>
      </c>
      <c r="L51" s="1339">
        <f ca="1">ROUND(-PV(INDIRECT("'数据-取费表'!h"&amp;$G$1),J51,(C39-C13*C76),0),0)</f>
        <v>2388979</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28</v>
      </c>
      <c r="R52" s="1326" t="s">
        <v>835</v>
      </c>
    </row>
    <row r="53" spans="1:18" s="1291" customFormat="1" ht="30.75" customHeight="1" thickBot="1">
      <c r="A53" s="1048" t="s">
        <v>440</v>
      </c>
      <c r="B53" s="315"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28</v>
      </c>
      <c r="K53" s="3358" t="s">
        <v>837</v>
      </c>
      <c r="L53" s="3359"/>
      <c r="O53" s="1324" t="s">
        <v>409</v>
      </c>
      <c r="P53" s="1325" t="s">
        <v>838</v>
      </c>
      <c r="Q53" s="1326">
        <f ca="1">Q47+Q48</f>
        <v>3574246</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0.2</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884781</v>
      </c>
      <c r="D56" s="1351"/>
      <c r="E56" s="1352"/>
      <c r="F56" s="1344"/>
      <c r="I56" s="1353" t="s">
        <v>842</v>
      </c>
      <c r="J56" s="1354" t="s">
        <v>3440</v>
      </c>
      <c r="K56" s="1327" t="s">
        <v>843</v>
      </c>
      <c r="L56" s="1330" t="str">
        <f ca="1">IF(L48&lt;J51,"——",L48-J51)</f>
        <v>——</v>
      </c>
      <c r="O56" s="1324" t="s">
        <v>403</v>
      </c>
      <c r="P56" s="1325" t="s">
        <v>817</v>
      </c>
      <c r="Q56" s="1326">
        <f ca="1">C40+J29</f>
        <v>3512779</v>
      </c>
      <c r="R56" s="1326" t="s">
        <v>818</v>
      </c>
    </row>
    <row r="57" spans="1:18" s="1291" customFormat="1" ht="24.6" thickBot="1">
      <c r="A57" s="1355"/>
      <c r="B57" s="896" t="s">
        <v>767</v>
      </c>
      <c r="C57" s="230">
        <f ca="1">C29</f>
        <v>1164186</v>
      </c>
      <c r="D57" s="1356"/>
      <c r="E57" s="1357"/>
      <c r="F57" s="1358"/>
      <c r="I57" s="1359" t="s">
        <v>844</v>
      </c>
      <c r="J57" s="1360">
        <f ca="1">IF(OR(M47="住宅",J51&lt;L48,J56="是"),"——",J51-L48)</f>
        <v>12</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4" t="s">
        <v>714</v>
      </c>
      <c r="C58" s="308">
        <f ca="1">ROUND(C59+C64+C65+C66,0)</f>
        <v>12527</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465674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61467</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12</v>
      </c>
      <c r="I62" s="1366" t="s">
        <v>858</v>
      </c>
      <c r="J62" s="610" t="s">
        <v>859</v>
      </c>
      <c r="K62" s="610" t="s">
        <v>860</v>
      </c>
      <c r="L62" s="610" t="s">
        <v>861</v>
      </c>
      <c r="M62" s="1367" t="s">
        <v>862</v>
      </c>
      <c r="O62" s="1324" t="s">
        <v>409</v>
      </c>
      <c r="P62" s="1325" t="s">
        <v>863</v>
      </c>
      <c r="Q62" s="1326">
        <f ca="1">Q56+Q57</f>
        <v>3512779</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11642</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885</v>
      </c>
      <c r="D65" s="910" t="s">
        <v>743</v>
      </c>
      <c r="E65" s="896" t="s">
        <v>744</v>
      </c>
      <c r="F65" s="321">
        <f t="shared" ca="1" si="0"/>
        <v>1E-3</v>
      </c>
      <c r="I65" s="1366" t="s">
        <v>867</v>
      </c>
      <c r="J65" s="610">
        <v>40</v>
      </c>
      <c r="K65" s="610">
        <v>30</v>
      </c>
      <c r="L65" s="610">
        <v>50</v>
      </c>
      <c r="M65" s="1368">
        <v>0.02</v>
      </c>
      <c r="O65" s="1324" t="s">
        <v>403</v>
      </c>
      <c r="P65" s="1325" t="s">
        <v>868</v>
      </c>
      <c r="Q65" s="1326">
        <f ca="1">C40+J29</f>
        <v>3512779</v>
      </c>
      <c r="R65" s="1326" t="s">
        <v>818</v>
      </c>
    </row>
    <row r="66" spans="1:18" s="1291" customFormat="1" ht="16.2"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-12527</v>
      </c>
      <c r="D67" s="909" t="s">
        <v>753</v>
      </c>
      <c r="E67" s="914"/>
      <c r="F67" s="915"/>
      <c r="O67" s="1333" t="s">
        <v>405</v>
      </c>
      <c r="P67" s="1325" t="s">
        <v>850</v>
      </c>
      <c r="Q67" s="1369">
        <f ca="1">L51</f>
        <v>2388979</v>
      </c>
      <c r="R67" s="1326" t="s">
        <v>870</v>
      </c>
    </row>
    <row r="68" spans="1:18" s="1291" customFormat="1" ht="16.2" thickBot="1">
      <c r="A68" s="893" t="s">
        <v>395</v>
      </c>
      <c r="B68" s="894" t="s">
        <v>774</v>
      </c>
      <c r="C68" s="293">
        <f ca="1">ROUND(C67*(1-((1+F70)/(1+F68))^F69)/(F68-F70),0)</f>
        <v>-176899</v>
      </c>
      <c r="D68" s="911" t="s">
        <v>758</v>
      </c>
      <c r="E68" s="896" t="s">
        <v>759</v>
      </c>
      <c r="F68" s="304">
        <f ca="1">F40</f>
        <v>5.5E-2</v>
      </c>
      <c r="O68" s="1333" t="s">
        <v>406</v>
      </c>
      <c r="P68" s="1370" t="s">
        <v>871</v>
      </c>
      <c r="Q68" s="1326">
        <f ca="1">ROUND(Q69-Q70*Q71,0)</f>
        <v>139225</v>
      </c>
      <c r="R68" s="1326" t="s">
        <v>414</v>
      </c>
    </row>
    <row r="69" spans="1:18" s="1291" customFormat="1" ht="13.8" thickBot="1">
      <c r="A69" s="897"/>
      <c r="B69" s="898"/>
      <c r="C69" s="298"/>
      <c r="D69" s="916" t="s">
        <v>762</v>
      </c>
      <c r="E69" s="896" t="s">
        <v>763</v>
      </c>
      <c r="F69" s="324">
        <f ca="1">F41</f>
        <v>28</v>
      </c>
      <c r="O69" s="1333" t="s">
        <v>411</v>
      </c>
      <c r="P69" s="1370" t="s">
        <v>872</v>
      </c>
      <c r="Q69" s="1326">
        <f ca="1">C39</f>
        <v>201160</v>
      </c>
      <c r="R69" s="1326" t="s">
        <v>818</v>
      </c>
    </row>
    <row r="70" spans="1:18" s="1291" customFormat="1" ht="13.8" thickBot="1">
      <c r="A70" s="900"/>
      <c r="B70" s="901"/>
      <c r="C70" s="302"/>
      <c r="D70" s="912"/>
      <c r="E70" s="896" t="s">
        <v>766</v>
      </c>
      <c r="F70" s="991"/>
      <c r="O70" s="1333" t="s">
        <v>412</v>
      </c>
      <c r="P70" s="1370" t="s">
        <v>873</v>
      </c>
      <c r="Q70" s="1326">
        <f ca="1">C13</f>
        <v>884781</v>
      </c>
      <c r="R70" s="1326" t="s">
        <v>818</v>
      </c>
    </row>
    <row r="71" spans="1:18" s="1291" customFormat="1" ht="13.8" thickBot="1">
      <c r="A71" s="917" t="s">
        <v>396</v>
      </c>
      <c r="B71" s="918" t="s">
        <v>776</v>
      </c>
      <c r="C71" s="327">
        <f ca="1">ROUND(C68/F71,0)</f>
        <v>-986</v>
      </c>
      <c r="D71" s="919" t="s">
        <v>777</v>
      </c>
      <c r="E71" s="920" t="s">
        <v>778</v>
      </c>
      <c r="F71" s="330">
        <f ca="1">F43</f>
        <v>179.5</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61935</v>
      </c>
      <c r="D75" s="1291"/>
      <c r="E75" s="1291"/>
      <c r="F75" s="1291"/>
      <c r="K75" s="1308"/>
      <c r="L75" s="1291"/>
      <c r="O75" s="1324" t="s">
        <v>409</v>
      </c>
      <c r="P75" s="1325" t="s">
        <v>838</v>
      </c>
      <c r="Q75" s="1326">
        <f ca="1">Q65+Q66</f>
        <v>3512779</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0.69199999999999995</v>
      </c>
    </row>
    <row r="80" spans="1:18">
      <c r="B80" s="331" t="s">
        <v>800</v>
      </c>
      <c r="C80" s="266">
        <f ca="1">ROUND(C75/C39,3)</f>
        <v>0.308</v>
      </c>
    </row>
    <row r="81" spans="2:3">
      <c r="B81" s="262" t="s">
        <v>801</v>
      </c>
      <c r="C81" s="230"/>
    </row>
    <row r="82" spans="2:3">
      <c r="B82" s="265" t="s">
        <v>802</v>
      </c>
      <c r="C82" s="267">
        <f ca="1">1-C83</f>
        <v>0.748</v>
      </c>
    </row>
    <row r="83" spans="2:3">
      <c r="B83" s="265" t="s">
        <v>803</v>
      </c>
      <c r="C83" s="266">
        <f ca="1">ROUND(C13/C40,3)</f>
        <v>0.252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受贵公司委托，我公司对北京市朝阳区东三环南路98号1幢房地产抵押价值进行了预评估。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估价对象为北京市朝阳区东三环南路98号1幢房地产，为所有。根据《国有土地使用证》[]，估价对象（分摊）出让国有建设用地使用权面积为0平方米，建筑面积为179.5平方米。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房地产,属开发建设的办公项目，该项目尚在开发建设中。根据《国有土地使用证》[]，估价对象（分摊）出让国有建设用地使用权面积为0平方米，规划建筑面积为179.5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东三环南路98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2024年12月23日（评估专业人员实地查勘之日）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23日，估价对象规划用途为综合，土地取得方式为出让，出让国有建设用地使用权剩余土地使用年限为28，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实际开发程度为宗地红线外“七通”（即、、、、、、）、红线内场地平整条件下，剩余土地使用年限为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 customHeight="1">
      <c r="A2" s="1292" t="s">
        <v>2314</v>
      </c>
      <c r="B2" s="2592" t="e">
        <f>IF(D2="——",C40,C40+E2)</f>
        <v>#DIV/0!</v>
      </c>
      <c r="C2" s="2593" t="s">
        <v>2315</v>
      </c>
      <c r="D2" s="3136" t="s">
        <v>3358</v>
      </c>
      <c r="E2" s="3137"/>
      <c r="F2" s="2595"/>
      <c r="G2" s="2596"/>
      <c r="H2" s="2597"/>
      <c r="I2" s="2598"/>
      <c r="J2" s="3414" t="s">
        <v>2316</v>
      </c>
      <c r="K2" s="3415"/>
      <c r="L2" s="2599" t="s">
        <v>2317</v>
      </c>
      <c r="M2" s="2599" t="s">
        <v>2318</v>
      </c>
      <c r="N2" s="2599" t="s">
        <v>2319</v>
      </c>
      <c r="O2" s="2599" t="s">
        <v>2320</v>
      </c>
      <c r="P2" s="2599" t="s">
        <v>2321</v>
      </c>
      <c r="Q2" s="2600" t="s">
        <v>2322</v>
      </c>
      <c r="R2" s="2601" t="s">
        <v>2323</v>
      </c>
      <c r="S2" s="2590"/>
      <c r="T2" s="2590"/>
      <c r="U2" s="2590"/>
      <c r="V2" s="2598"/>
    </row>
    <row r="3" spans="1:22" s="2602" customFormat="1" ht="13.2" customHeight="1">
      <c r="A3" s="2603" t="s">
        <v>2324</v>
      </c>
      <c r="B3" s="2604" t="e">
        <f>ROUND(B2*10000/B4,0)</f>
        <v>#DIV/0!</v>
      </c>
      <c r="C3" s="2593" t="s">
        <v>2325</v>
      </c>
      <c r="D3" s="2593"/>
      <c r="E3" s="2594"/>
      <c r="F3" s="2595"/>
      <c r="G3" s="2596"/>
      <c r="H3" s="2597"/>
      <c r="I3" s="2598"/>
      <c r="J3" s="3416" t="s">
        <v>2326</v>
      </c>
      <c r="K3" s="3417"/>
      <c r="L3" s="2605"/>
      <c r="M3" s="2605"/>
      <c r="N3" s="2605"/>
      <c r="O3" s="2605"/>
      <c r="P3" s="2605"/>
      <c r="Q3" s="2606"/>
      <c r="R3" s="2607">
        <f>SUM(L3:Q3)</f>
        <v>0</v>
      </c>
      <c r="S3" s="2590"/>
      <c r="T3" s="2590"/>
      <c r="U3" s="2590"/>
      <c r="V3" s="2598"/>
    </row>
    <row r="4" spans="1:22" s="2602" customFormat="1" ht="13.2" customHeight="1">
      <c r="A4" s="2608" t="s">
        <v>2327</v>
      </c>
      <c r="B4" s="2609"/>
      <c r="C4" s="2593"/>
      <c r="D4" s="2593"/>
      <c r="E4" s="2594"/>
      <c r="F4" s="2595"/>
      <c r="G4" s="2596"/>
      <c r="H4" s="2597"/>
      <c r="I4" s="2598"/>
      <c r="J4" s="3416" t="s">
        <v>2328</v>
      </c>
      <c r="K4" s="3417"/>
      <c r="L4" s="2610"/>
      <c r="M4" s="2610"/>
      <c r="N4" s="2610"/>
      <c r="O4" s="2610"/>
      <c r="P4" s="2610"/>
      <c r="Q4" s="2611"/>
      <c r="R4" s="2612">
        <f>SUM(L4:Q4)</f>
        <v>0</v>
      </c>
      <c r="S4" s="2590"/>
      <c r="T4" s="2590"/>
      <c r="U4" s="2590"/>
      <c r="V4" s="2598"/>
    </row>
    <row r="5" spans="1:22" s="2602" customFormat="1" ht="13.2"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 customHeight="1" thickBot="1">
      <c r="A6" s="3418" t="s">
        <v>2332</v>
      </c>
      <c r="B6" s="3419"/>
      <c r="C6" s="3420"/>
      <c r="D6" s="2619"/>
      <c r="E6" s="2620"/>
      <c r="F6" s="2621"/>
      <c r="G6" s="2622"/>
      <c r="H6" s="2597"/>
      <c r="I6" s="2598"/>
      <c r="J6" s="3421">
        <v>1</v>
      </c>
      <c r="K6" s="3422"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 customHeight="1">
      <c r="A7" s="2625" t="s">
        <v>2342</v>
      </c>
      <c r="B7" s="2626"/>
      <c r="C7" s="2627"/>
      <c r="D7" s="2628">
        <f>SUM(D9,D10,D11,D17,0)</f>
        <v>0</v>
      </c>
      <c r="E7" s="2629" t="e">
        <f>E9+E10+E11+E17</f>
        <v>#DIV/0!</v>
      </c>
      <c r="F7" s="2630"/>
      <c r="G7" s="2631"/>
      <c r="H7" s="2597"/>
      <c r="I7" s="2598"/>
      <c r="J7" s="3421"/>
      <c r="K7" s="3423"/>
      <c r="L7" s="2632" t="s">
        <v>2343</v>
      </c>
      <c r="M7" s="2633"/>
      <c r="N7" s="2609"/>
      <c r="O7" s="2634"/>
      <c r="P7" s="2634"/>
      <c r="Q7" s="2635">
        <v>365</v>
      </c>
      <c r="R7" s="2636">
        <f>ROUND(M7*N7*O7*P7*Q7/10000,0)</f>
        <v>0</v>
      </c>
      <c r="S7" s="2590"/>
      <c r="T7" s="2590" t="s">
        <v>2344</v>
      </c>
      <c r="U7" s="2590"/>
      <c r="V7" s="2598"/>
    </row>
    <row r="8" spans="1:22" s="2602" customFormat="1" ht="13.2" customHeight="1">
      <c r="A8" s="2637" t="s">
        <v>2345</v>
      </c>
      <c r="B8" s="3425" t="s">
        <v>2346</v>
      </c>
      <c r="C8" s="3426"/>
      <c r="D8" s="2638" t="s">
        <v>2347</v>
      </c>
      <c r="E8" s="2639" t="s">
        <v>2348</v>
      </c>
      <c r="F8" s="2640" t="s">
        <v>2349</v>
      </c>
      <c r="G8" s="2641"/>
      <c r="H8" s="2597"/>
      <c r="I8" s="2598"/>
      <c r="J8" s="3421"/>
      <c r="K8" s="3423"/>
      <c r="L8" s="2632" t="s">
        <v>2350</v>
      </c>
      <c r="M8" s="2633"/>
      <c r="N8" s="2609"/>
      <c r="O8" s="2634"/>
      <c r="P8" s="2634"/>
      <c r="Q8" s="2635">
        <v>365</v>
      </c>
      <c r="R8" s="2636">
        <f t="shared" ref="R8:R13" si="0">ROUND(M8*N8*O8*P8*Q8/10000,0)</f>
        <v>0</v>
      </c>
      <c r="S8" s="2590"/>
      <c r="T8" s="2590" t="s">
        <v>2351</v>
      </c>
      <c r="U8" s="2590"/>
      <c r="V8" s="2598"/>
    </row>
    <row r="9" spans="1:22" s="2602" customFormat="1" ht="13.2" customHeight="1">
      <c r="A9" s="2637">
        <v>1</v>
      </c>
      <c r="B9" s="3425" t="s">
        <v>2352</v>
      </c>
      <c r="C9" s="3426"/>
      <c r="D9" s="2638">
        <f>ROUND(D6*E9,0)</f>
        <v>0</v>
      </c>
      <c r="E9" s="2642"/>
      <c r="F9" s="2643" t="s">
        <v>2353</v>
      </c>
      <c r="G9" s="2622"/>
      <c r="H9" s="2597"/>
      <c r="I9" s="2598"/>
      <c r="J9" s="3421"/>
      <c r="K9" s="3423"/>
      <c r="L9" s="2632" t="s">
        <v>2354</v>
      </c>
      <c r="M9" s="2633"/>
      <c r="N9" s="2609"/>
      <c r="O9" s="2634"/>
      <c r="P9" s="2634"/>
      <c r="Q9" s="2635">
        <v>365</v>
      </c>
      <c r="R9" s="2636">
        <f t="shared" si="0"/>
        <v>0</v>
      </c>
      <c r="S9" s="2590"/>
      <c r="T9" s="2590"/>
      <c r="U9" s="2590"/>
      <c r="V9" s="2598"/>
    </row>
    <row r="10" spans="1:22" s="2602" customFormat="1" ht="13.2" customHeight="1">
      <c r="A10" s="2637">
        <v>2</v>
      </c>
      <c r="B10" s="3425" t="s">
        <v>2355</v>
      </c>
      <c r="C10" s="3426"/>
      <c r="D10" s="2638">
        <f>ROUND(D6*E10,0)</f>
        <v>0</v>
      </c>
      <c r="E10" s="2642"/>
      <c r="F10" s="2643" t="s">
        <v>2356</v>
      </c>
      <c r="G10" s="2622"/>
      <c r="H10" s="2597"/>
      <c r="I10" s="2598"/>
      <c r="J10" s="3421"/>
      <c r="K10" s="3423"/>
      <c r="L10" s="2632" t="s">
        <v>2357</v>
      </c>
      <c r="M10" s="2633"/>
      <c r="N10" s="2609"/>
      <c r="O10" s="2634"/>
      <c r="P10" s="2634"/>
      <c r="Q10" s="2635">
        <v>365</v>
      </c>
      <c r="R10" s="2636">
        <f t="shared" si="0"/>
        <v>0</v>
      </c>
      <c r="S10" s="2590"/>
      <c r="T10" s="2590"/>
      <c r="U10" s="2590"/>
      <c r="V10" s="2598"/>
    </row>
    <row r="11" spans="1:22" s="2602" customFormat="1" ht="13.2" customHeight="1">
      <c r="A11" s="2637">
        <v>3</v>
      </c>
      <c r="B11" s="3425" t="s">
        <v>2358</v>
      </c>
      <c r="C11" s="3426"/>
      <c r="D11" s="2638">
        <f>D12+D14+D15+D16</f>
        <v>0</v>
      </c>
      <c r="E11" s="2644" t="e">
        <f>D11/D6</f>
        <v>#DIV/0!</v>
      </c>
      <c r="F11" s="2640"/>
      <c r="G11" s="2641"/>
      <c r="H11" s="2597"/>
      <c r="I11" s="2598"/>
      <c r="J11" s="3421"/>
      <c r="K11" s="3423"/>
      <c r="L11" s="2632" t="s">
        <v>2359</v>
      </c>
      <c r="M11" s="2633"/>
      <c r="N11" s="2609"/>
      <c r="O11" s="2634"/>
      <c r="P11" s="2634"/>
      <c r="Q11" s="2635">
        <v>365</v>
      </c>
      <c r="R11" s="2636">
        <f t="shared" si="0"/>
        <v>0</v>
      </c>
      <c r="S11" s="2590"/>
      <c r="T11" s="2590"/>
      <c r="U11" s="2590"/>
      <c r="V11" s="2598"/>
    </row>
    <row r="12" spans="1:22" s="2602" customFormat="1" ht="13.2" customHeight="1">
      <c r="A12" s="2645" t="s">
        <v>2360</v>
      </c>
      <c r="B12" s="3427" t="s">
        <v>2361</v>
      </c>
      <c r="C12" s="3428"/>
      <c r="D12" s="2646">
        <f>ROUND(D13*1.2%*(1-30%),0)</f>
        <v>0</v>
      </c>
      <c r="E12" s="2647">
        <v>1.2E-2</v>
      </c>
      <c r="F12" s="2640" t="s">
        <v>2362</v>
      </c>
      <c r="G12" s="2641"/>
      <c r="H12" s="2597"/>
      <c r="I12" s="2598"/>
      <c r="J12" s="3421"/>
      <c r="K12" s="3423"/>
      <c r="L12" s="2632" t="s">
        <v>2363</v>
      </c>
      <c r="M12" s="2633"/>
      <c r="N12" s="2609"/>
      <c r="O12" s="2634"/>
      <c r="P12" s="2634"/>
      <c r="Q12" s="2635">
        <v>365</v>
      </c>
      <c r="R12" s="2636">
        <f t="shared" si="0"/>
        <v>0</v>
      </c>
      <c r="S12" s="2590"/>
      <c r="T12" s="2590"/>
      <c r="U12" s="2590"/>
      <c r="V12" s="2598"/>
    </row>
    <row r="13" spans="1:22" s="2602" customFormat="1" ht="13.2" customHeight="1">
      <c r="A13" s="2645"/>
      <c r="B13" s="2648"/>
      <c r="C13" s="2649" t="s">
        <v>2364</v>
      </c>
      <c r="D13" s="2650"/>
      <c r="E13" s="2651"/>
      <c r="F13" s="2640"/>
      <c r="G13" s="2641"/>
      <c r="H13" s="2597"/>
      <c r="I13" s="2598"/>
      <c r="J13" s="3421"/>
      <c r="K13" s="3423"/>
      <c r="L13" s="2632" t="s">
        <v>2365</v>
      </c>
      <c r="M13" s="2633"/>
      <c r="N13" s="2609"/>
      <c r="O13" s="2634"/>
      <c r="P13" s="2634"/>
      <c r="Q13" s="2635">
        <v>365</v>
      </c>
      <c r="R13" s="2636">
        <f t="shared" si="0"/>
        <v>0</v>
      </c>
      <c r="S13" s="2590"/>
      <c r="T13" s="2590"/>
      <c r="U13" s="2590"/>
      <c r="V13" s="2598"/>
    </row>
    <row r="14" spans="1:22" s="2602" customFormat="1" ht="13.2" customHeight="1">
      <c r="A14" s="2645" t="s">
        <v>2366</v>
      </c>
      <c r="B14" s="3427" t="s">
        <v>2367</v>
      </c>
      <c r="C14" s="3428"/>
      <c r="D14" s="2646">
        <f>ROUND(E14*B5/10000,0)</f>
        <v>0</v>
      </c>
      <c r="E14" s="2635"/>
      <c r="F14" s="2640" t="s">
        <v>2368</v>
      </c>
      <c r="G14" s="2641"/>
      <c r="H14" s="2597"/>
      <c r="I14" s="2598"/>
      <c r="J14" s="3421"/>
      <c r="K14" s="3424"/>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2370</v>
      </c>
      <c r="B15" s="3427" t="s">
        <v>2371</v>
      </c>
      <c r="C15" s="3428"/>
      <c r="D15" s="2646">
        <f>ROUND(D6*E15,0)</f>
        <v>0</v>
      </c>
      <c r="E15" s="2647">
        <v>5.5E-2</v>
      </c>
      <c r="F15" s="2640" t="s">
        <v>2372</v>
      </c>
      <c r="G15" s="2622"/>
      <c r="H15" s="2597"/>
      <c r="I15" s="2598"/>
      <c r="J15" s="3421">
        <v>2</v>
      </c>
      <c r="K15" s="3422"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 customHeight="1">
      <c r="A16" s="2645" t="s">
        <v>2379</v>
      </c>
      <c r="B16" s="3427" t="s">
        <v>2380</v>
      </c>
      <c r="C16" s="3428"/>
      <c r="D16" s="2657">
        <f>D6*E16</f>
        <v>0</v>
      </c>
      <c r="E16" s="2658"/>
      <c r="F16" s="2643" t="s">
        <v>2381</v>
      </c>
      <c r="G16" s="2622"/>
      <c r="H16" s="2597"/>
      <c r="I16" s="2598"/>
      <c r="J16" s="3421"/>
      <c r="K16" s="3423"/>
      <c r="L16" s="2632" t="s">
        <v>2382</v>
      </c>
      <c r="M16" s="2633"/>
      <c r="N16" s="2633"/>
      <c r="O16" s="2634"/>
      <c r="P16" s="2635">
        <v>365</v>
      </c>
      <c r="Q16" s="2609"/>
      <c r="R16" s="2656">
        <f>ROUND(M16*N16*O16*P16/10000,0)</f>
        <v>0</v>
      </c>
      <c r="S16" s="2590"/>
      <c r="T16" s="2590"/>
      <c r="U16" s="2590"/>
      <c r="V16" s="2598"/>
    </row>
    <row r="17" spans="1:22" s="2602" customFormat="1" ht="13.2" customHeight="1" thickBot="1">
      <c r="A17" s="2659">
        <v>4</v>
      </c>
      <c r="B17" s="3429" t="s">
        <v>2383</v>
      </c>
      <c r="C17" s="3430"/>
      <c r="D17" s="2660">
        <f>ROUND(D6*E17,0)</f>
        <v>0</v>
      </c>
      <c r="E17" s="2661"/>
      <c r="F17" s="2662" t="s">
        <v>2384</v>
      </c>
      <c r="G17" s="2622"/>
      <c r="H17" s="2597"/>
      <c r="I17" s="2598"/>
      <c r="J17" s="3421"/>
      <c r="K17" s="3423"/>
      <c r="L17" s="2632" t="s">
        <v>2385</v>
      </c>
      <c r="M17" s="2633"/>
      <c r="N17" s="2633"/>
      <c r="O17" s="2634"/>
      <c r="P17" s="2635">
        <v>365</v>
      </c>
      <c r="Q17" s="2609"/>
      <c r="R17" s="2656">
        <f>ROUND(M17*N17*O17*P17/10000,0)</f>
        <v>0</v>
      </c>
      <c r="S17" s="2590"/>
      <c r="T17" s="2590"/>
      <c r="U17" s="2590"/>
      <c r="V17" s="2598"/>
    </row>
    <row r="18" spans="1:22" s="2602" customFormat="1" ht="13.2" customHeight="1" thickBot="1">
      <c r="A18" s="2625" t="s">
        <v>2386</v>
      </c>
      <c r="B18" s="2626"/>
      <c r="C18" s="2626"/>
      <c r="D18" s="2663">
        <f>ROUND(D6*E18,0)</f>
        <v>0</v>
      </c>
      <c r="E18" s="2664"/>
      <c r="F18" s="2665" t="s">
        <v>2387</v>
      </c>
      <c r="G18" s="2622"/>
      <c r="H18" s="2597"/>
      <c r="I18" s="2598"/>
      <c r="J18" s="3421"/>
      <c r="K18" s="3423"/>
      <c r="L18" s="2632" t="s">
        <v>2388</v>
      </c>
      <c r="M18" s="2633"/>
      <c r="N18" s="2633"/>
      <c r="O18" s="2634"/>
      <c r="P18" s="2635">
        <v>365</v>
      </c>
      <c r="Q18" s="2609"/>
      <c r="R18" s="2656">
        <f>ROUND(M18*N18*O18*P18/10000,0)</f>
        <v>0</v>
      </c>
      <c r="S18" s="2590"/>
      <c r="T18" s="2590"/>
      <c r="U18" s="2590"/>
      <c r="V18" s="2598"/>
    </row>
    <row r="19" spans="1:22" s="2602" customFormat="1" ht="13.2" customHeight="1" thickBot="1">
      <c r="A19" s="2666" t="s">
        <v>2389</v>
      </c>
      <c r="B19" s="2620"/>
      <c r="C19" s="2620"/>
      <c r="D19" s="2620"/>
      <c r="E19" s="2620"/>
      <c r="F19" s="2621"/>
      <c r="G19" s="2641"/>
      <c r="H19" s="2597"/>
      <c r="I19" s="2598"/>
      <c r="J19" s="3421"/>
      <c r="K19" s="3424"/>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1">
        <v>3</v>
      </c>
      <c r="K20" s="3422"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 customHeight="1">
      <c r="A21" s="2625"/>
      <c r="B21" s="2626"/>
      <c r="C21" s="2671" t="s">
        <v>2398</v>
      </c>
      <c r="D21" s="2672" t="s">
        <v>2399</v>
      </c>
      <c r="E21" s="2673" t="s">
        <v>2400</v>
      </c>
      <c r="F21" s="2669"/>
      <c r="G21" s="2641"/>
      <c r="H21" s="2597"/>
      <c r="I21" s="2598"/>
      <c r="J21" s="3421"/>
      <c r="K21" s="3423"/>
      <c r="L21" s="2632" t="s">
        <v>2401</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2402</v>
      </c>
      <c r="D22" s="2676" t="s">
        <v>2403</v>
      </c>
      <c r="E22" s="2677" t="s">
        <v>2404</v>
      </c>
      <c r="F22" s="2669"/>
      <c r="G22" s="2590"/>
      <c r="H22" s="2597"/>
      <c r="I22" s="2598"/>
      <c r="J22" s="3421"/>
      <c r="K22" s="3423"/>
      <c r="L22" s="2632" t="s">
        <v>2405</v>
      </c>
      <c r="M22" s="2633"/>
      <c r="N22" s="2633"/>
      <c r="O22" s="2634"/>
      <c r="P22" s="2635">
        <v>365</v>
      </c>
      <c r="Q22" s="2609"/>
      <c r="R22" s="2674">
        <f>ROUND(M22*N22*O22*P22/10000,0)</f>
        <v>0</v>
      </c>
      <c r="S22" s="2590"/>
      <c r="T22" s="2590"/>
      <c r="U22" s="2590"/>
      <c r="V22" s="2598"/>
    </row>
    <row r="23" spans="1:22" s="2602" customFormat="1" ht="13.2" customHeight="1">
      <c r="A23" s="2678">
        <v>1</v>
      </c>
      <c r="B23" s="2679" t="s">
        <v>2406</v>
      </c>
      <c r="C23" s="2680">
        <f>D6</f>
        <v>0</v>
      </c>
      <c r="D23" s="2681">
        <f>C23*(1+D24)</f>
        <v>0</v>
      </c>
      <c r="E23" s="2682">
        <f>D23*(1+E24)</f>
        <v>0</v>
      </c>
      <c r="F23" s="2683"/>
      <c r="G23" s="2684"/>
      <c r="H23" s="2597"/>
      <c r="I23" s="2598"/>
      <c r="J23" s="3421"/>
      <c r="K23" s="3423"/>
      <c r="L23" s="2632" t="s">
        <v>2407</v>
      </c>
      <c r="M23" s="2633"/>
      <c r="N23" s="2633"/>
      <c r="O23" s="2634"/>
      <c r="P23" s="2635">
        <v>365</v>
      </c>
      <c r="Q23" s="2609"/>
      <c r="R23" s="2674">
        <f>ROUND(M23*N23*O23*P23/10000,0)</f>
        <v>0</v>
      </c>
      <c r="S23" s="2590"/>
      <c r="T23" s="2590"/>
      <c r="U23" s="2590"/>
      <c r="V23" s="2598"/>
    </row>
    <row r="24" spans="1:22" s="2602" customFormat="1" ht="13.2" customHeight="1">
      <c r="A24" s="2685"/>
      <c r="B24" s="2686" t="s">
        <v>2408</v>
      </c>
      <c r="C24" s="2687"/>
      <c r="D24" s="2688"/>
      <c r="E24" s="2689"/>
      <c r="F24" s="2690"/>
      <c r="G24" s="2684"/>
      <c r="H24" s="2597"/>
      <c r="I24" s="2598"/>
      <c r="J24" s="3421"/>
      <c r="K24" s="3424"/>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 customHeight="1">
      <c r="A26" s="2678">
        <v>2</v>
      </c>
      <c r="B26" s="2679" t="s">
        <v>2410</v>
      </c>
      <c r="C26" s="2680">
        <f>D7</f>
        <v>0</v>
      </c>
      <c r="D26" s="2681">
        <f>D23*D27</f>
        <v>0</v>
      </c>
      <c r="E26" s="2682">
        <f>E23*E27</f>
        <v>0</v>
      </c>
      <c r="F26" s="2683"/>
      <c r="G26" s="2684"/>
      <c r="H26" s="2597"/>
      <c r="I26" s="2598"/>
      <c r="J26" s="3431">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 customHeight="1">
      <c r="A27" s="2685"/>
      <c r="B27" s="2686" t="s">
        <v>2416</v>
      </c>
      <c r="C27" s="2703" t="e">
        <f>E7</f>
        <v>#DIV/0!</v>
      </c>
      <c r="D27" s="2688"/>
      <c r="E27" s="2689"/>
      <c r="F27" s="2690"/>
      <c r="G27" s="2684"/>
      <c r="H27" s="2704"/>
      <c r="I27" s="2696"/>
      <c r="J27" s="343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 customHeight="1">
      <c r="A32" s="2678">
        <v>4</v>
      </c>
      <c r="B32" s="2679" t="s">
        <v>2424</v>
      </c>
      <c r="C32" s="2680">
        <f>C23-C26-C29</f>
        <v>0</v>
      </c>
      <c r="D32" s="2681">
        <f>D23-D26-D29</f>
        <v>0</v>
      </c>
      <c r="E32" s="2682">
        <f>E23-E26-E29</f>
        <v>0</v>
      </c>
      <c r="F32" s="2683"/>
      <c r="G32" s="2590"/>
      <c r="H32" s="2597"/>
      <c r="I32" s="2598"/>
      <c r="J32" s="3414" t="s">
        <v>2316</v>
      </c>
      <c r="K32" s="3415"/>
      <c r="L32" s="2599" t="s">
        <v>2317</v>
      </c>
      <c r="M32" s="2599" t="s">
        <v>2318</v>
      </c>
      <c r="N32" s="2599" t="s">
        <v>2319</v>
      </c>
      <c r="O32" s="2599" t="s">
        <v>2320</v>
      </c>
      <c r="P32" s="2599" t="s">
        <v>2321</v>
      </c>
      <c r="Q32" s="2600" t="s">
        <v>2322</v>
      </c>
      <c r="R32" s="2719" t="s">
        <v>2323</v>
      </c>
      <c r="S32" s="2590"/>
      <c r="T32" s="2590"/>
      <c r="U32" s="2590"/>
      <c r="V32" s="2696"/>
    </row>
    <row r="33" spans="1:23" s="2602" customFormat="1" ht="13.2" customHeight="1">
      <c r="A33" s="2678"/>
      <c r="B33" s="2679"/>
      <c r="C33" s="2680"/>
      <c r="D33" s="2720"/>
      <c r="E33" s="2721"/>
      <c r="F33" s="2683"/>
      <c r="G33" s="2590"/>
      <c r="H33" s="2704"/>
      <c r="I33" s="2696"/>
      <c r="J33" s="3416" t="s">
        <v>2326</v>
      </c>
      <c r="K33" s="3417"/>
      <c r="L33" s="2605"/>
      <c r="M33" s="2605"/>
      <c r="N33" s="2605"/>
      <c r="O33" s="2605"/>
      <c r="P33" s="2605"/>
      <c r="Q33" s="2606"/>
      <c r="R33" s="2722">
        <f>SUM(L33:Q33)</f>
        <v>0</v>
      </c>
      <c r="S33" s="2590"/>
      <c r="T33" s="2590"/>
      <c r="U33" s="2590"/>
      <c r="V33" s="2598"/>
    </row>
    <row r="34" spans="1:23" s="2602" customFormat="1" ht="13.2" customHeight="1">
      <c r="A34" s="2678">
        <v>5</v>
      </c>
      <c r="B34" s="2679" t="s">
        <v>2425</v>
      </c>
      <c r="C34" s="2723"/>
      <c r="D34" s="2724"/>
      <c r="E34" s="2725"/>
      <c r="F34" s="2683"/>
      <c r="G34" s="2590"/>
      <c r="H34" s="2704"/>
      <c r="I34" s="2696"/>
      <c r="J34" s="3416" t="s">
        <v>2328</v>
      </c>
      <c r="K34" s="341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 customHeight="1" thickBot="1">
      <c r="A36" s="2678">
        <v>7</v>
      </c>
      <c r="B36" s="2732" t="s">
        <v>2427</v>
      </c>
      <c r="C36" s="2733"/>
      <c r="D36" s="2734"/>
      <c r="E36" s="2735"/>
      <c r="F36" s="2736">
        <f>C36+D36+E36</f>
        <v>0</v>
      </c>
      <c r="G36" s="2590"/>
      <c r="H36" s="2597"/>
      <c r="I36" s="2598"/>
      <c r="J36" s="3421">
        <v>1</v>
      </c>
      <c r="K36" s="3422" t="s">
        <v>2428</v>
      </c>
      <c r="L36" s="2623"/>
      <c r="M36" s="2624"/>
      <c r="N36" s="2624"/>
      <c r="O36" s="2624"/>
      <c r="P36" s="2624"/>
      <c r="Q36" s="2624"/>
      <c r="R36" s="2607" t="s">
        <v>2340</v>
      </c>
      <c r="S36" s="2590"/>
      <c r="T36" s="2590" t="s">
        <v>2341</v>
      </c>
      <c r="U36" s="2590"/>
      <c r="V36" s="2598"/>
    </row>
    <row r="37" spans="1:23" s="2602" customFormat="1" ht="13.2" customHeight="1">
      <c r="A37" s="2678"/>
      <c r="B37" s="2679"/>
      <c r="C37" s="2679"/>
      <c r="D37" s="2679"/>
      <c r="E37" s="2679"/>
      <c r="F37" s="2683"/>
      <c r="G37" s="2590"/>
      <c r="H37" s="2597"/>
      <c r="I37" s="2598"/>
      <c r="J37" s="3421"/>
      <c r="K37" s="3423"/>
      <c r="L37" s="2632"/>
      <c r="M37" s="2633"/>
      <c r="N37" s="2609"/>
      <c r="O37" s="2634"/>
      <c r="P37" s="2634"/>
      <c r="Q37" s="2635"/>
      <c r="R37" s="2636"/>
      <c r="S37" s="2590"/>
      <c r="T37" s="2590" t="s">
        <v>2344</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1"/>
      <c r="K38" s="3423"/>
      <c r="L38" s="2632"/>
      <c r="M38" s="2633"/>
      <c r="N38" s="2609"/>
      <c r="O38" s="2634"/>
      <c r="P38" s="2634"/>
      <c r="Q38" s="2635"/>
      <c r="R38" s="2636"/>
      <c r="S38" s="2590"/>
      <c r="T38" s="2590" t="s">
        <v>2351</v>
      </c>
      <c r="U38" s="2590"/>
      <c r="V38" s="2598"/>
    </row>
    <row r="39" spans="1:23" s="2602" customFormat="1" ht="13.2" customHeight="1">
      <c r="A39" s="2678">
        <v>9</v>
      </c>
      <c r="B39" s="2679" t="s">
        <v>2429</v>
      </c>
      <c r="C39" s="2646" t="e">
        <f>C38</f>
        <v>#DIV/0!</v>
      </c>
      <c r="D39" s="2679">
        <f>D38/(1+D34)^C36</f>
        <v>0</v>
      </c>
      <c r="E39" s="2679">
        <f>E38/(1+E34)^(C36+D36)</f>
        <v>0</v>
      </c>
      <c r="F39" s="2683"/>
      <c r="G39" s="2598"/>
      <c r="H39" s="2597"/>
      <c r="I39" s="2598"/>
      <c r="J39" s="3421"/>
      <c r="K39" s="3423"/>
      <c r="L39" s="2632"/>
      <c r="M39" s="2633"/>
      <c r="N39" s="2609"/>
      <c r="O39" s="2634"/>
      <c r="P39" s="2634"/>
      <c r="Q39" s="2635"/>
      <c r="R39" s="2636"/>
      <c r="S39" s="2590"/>
      <c r="T39" s="2590"/>
      <c r="U39" s="2590"/>
      <c r="V39" s="2598"/>
    </row>
    <row r="40" spans="1:23" s="2602" customFormat="1" ht="13.2" customHeight="1">
      <c r="A40" s="2737">
        <v>10</v>
      </c>
      <c r="B40" s="2679" t="s">
        <v>2430</v>
      </c>
      <c r="C40" s="2738" t="e">
        <f>C39+D39+E39</f>
        <v>#DIV/0!</v>
      </c>
      <c r="D40" s="2739"/>
      <c r="E40" s="2739"/>
      <c r="F40" s="2740"/>
      <c r="G40" s="2590"/>
      <c r="H40" s="2597"/>
      <c r="I40" s="2598"/>
      <c r="J40" s="3421"/>
      <c r="K40" s="3424"/>
      <c r="L40" s="2652" t="s">
        <v>2369</v>
      </c>
      <c r="M40" s="2653"/>
      <c r="N40" s="2653"/>
      <c r="O40" s="2654"/>
      <c r="P40" s="2654"/>
      <c r="Q40" s="2655"/>
      <c r="R40" s="2601">
        <f>SUM(R37:R39)</f>
        <v>0</v>
      </c>
      <c r="S40" s="2590"/>
      <c r="T40" s="2590"/>
      <c r="U40" s="2590"/>
      <c r="V40" s="2598"/>
    </row>
    <row r="41" spans="1:23" s="2602" customFormat="1" ht="13.2"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 customHeight="1">
      <c r="G42" s="2597"/>
      <c r="H42" s="2597"/>
      <c r="I42" s="2598"/>
      <c r="J42" s="3431">
        <v>3</v>
      </c>
      <c r="K42" s="2698" t="s">
        <v>2411</v>
      </c>
      <c r="L42" s="2699"/>
      <c r="M42" s="2700"/>
      <c r="N42" s="2701" t="s">
        <v>2412</v>
      </c>
      <c r="O42" s="2701" t="s">
        <v>2413</v>
      </c>
      <c r="P42" s="2702" t="s">
        <v>2414</v>
      </c>
      <c r="Q42" s="2702" t="s">
        <v>2415</v>
      </c>
      <c r="R42" s="2607" t="s">
        <v>2340</v>
      </c>
      <c r="S42" s="2641"/>
      <c r="T42" s="2641"/>
      <c r="U42" s="2590"/>
      <c r="V42" s="2598"/>
    </row>
    <row r="43" spans="1:23" ht="13.2" customHeight="1">
      <c r="A43" s="2602"/>
      <c r="B43" s="2602"/>
      <c r="C43" s="2602"/>
      <c r="D43" s="2602"/>
      <c r="E43" s="2602"/>
      <c r="F43" s="2602"/>
      <c r="I43" s="2585"/>
      <c r="J43" s="343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7"/>
      <c r="G1" s="459"/>
      <c r="H1" s="459"/>
      <c r="I1" s="459"/>
      <c r="J1" s="459"/>
      <c r="K1" s="459"/>
      <c r="L1" s="459"/>
      <c r="M1" s="459"/>
      <c r="N1" s="459"/>
      <c r="O1" s="459"/>
      <c r="P1" s="459"/>
      <c r="Q1" s="459"/>
      <c r="R1" s="459"/>
      <c r="S1" s="459"/>
    </row>
    <row r="2" spans="1:22" ht="15.6">
      <c r="A2" s="1727" t="s">
        <v>1462</v>
      </c>
      <c r="B2" s="811">
        <f ca="1">SUMIF(B6:B13,"&lt;&gt;#ref!",B6:B13)</f>
        <v>357.4246</v>
      </c>
      <c r="C2" s="1728" t="s">
        <v>1651</v>
      </c>
      <c r="D2" s="1729" t="s">
        <v>1652</v>
      </c>
      <c r="E2" s="2391">
        <f>SUM(E6:E13)</f>
        <v>179.5</v>
      </c>
      <c r="F2" s="2477"/>
      <c r="G2" s="459"/>
      <c r="H2" s="459"/>
      <c r="I2" s="459"/>
      <c r="J2" s="459"/>
      <c r="K2" s="459"/>
      <c r="L2" s="459"/>
      <c r="M2" s="459"/>
      <c r="N2" s="459"/>
      <c r="O2" s="459"/>
      <c r="P2" s="459"/>
      <c r="Q2" s="459"/>
      <c r="R2" s="459"/>
      <c r="S2" s="459"/>
    </row>
    <row r="3" spans="1:22" ht="15.6">
      <c r="A3" s="1727" t="s">
        <v>686</v>
      </c>
      <c r="B3" s="2385">
        <f ca="1">ROUND(B2*10000/E2,0)</f>
        <v>19912</v>
      </c>
      <c r="C3" s="1728"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3" t="s">
        <v>1654</v>
      </c>
      <c r="C5" s="3434"/>
      <c r="D5" s="2478"/>
      <c r="E5" s="1730"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357.4246</v>
      </c>
      <c r="C6" s="1728" t="s">
        <v>1651</v>
      </c>
      <c r="D6" s="2477"/>
      <c r="E6" s="2390">
        <f>IF(OR(A6=0,F6="否"),0,'数据-取费表'!K6+'数据-取费表'!S6)</f>
        <v>179.5</v>
      </c>
      <c r="F6" s="1731"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8" t="s">
        <v>1651</v>
      </c>
      <c r="D7" s="2477"/>
      <c r="E7" s="2390">
        <f>IF(OR(A7=0,F7="否"),0,'数据-取费表'!K7+'数据-取费表'!S7)</f>
        <v>0</v>
      </c>
      <c r="F7" s="1731"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8" t="s">
        <v>1651</v>
      </c>
      <c r="D8" s="2477"/>
      <c r="E8" s="2390">
        <f>IF(OR(A8=0,F8="否"),0,'数据-取费表'!K8+'数据-取费表'!S8)</f>
        <v>0</v>
      </c>
      <c r="F8" s="1731"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1661</v>
      </c>
      <c r="C1" s="1155" t="s">
        <v>1662</v>
      </c>
      <c r="D1" s="1142"/>
      <c r="E1" s="3122"/>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179.5</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4.4">
      <c r="A4" s="345" t="s">
        <v>1666</v>
      </c>
      <c r="B4" s="346"/>
      <c r="C4" s="3385" t="s">
        <v>1667</v>
      </c>
      <c r="D4" s="3386"/>
      <c r="E4" s="3387" t="s">
        <v>1668</v>
      </c>
      <c r="F4" s="3388"/>
      <c r="G4" s="3385" t="s">
        <v>1669</v>
      </c>
      <c r="H4" s="3386"/>
      <c r="I4" s="3385" t="s">
        <v>1670</v>
      </c>
      <c r="J4" s="3386"/>
      <c r="K4" s="1743" t="s">
        <v>1671</v>
      </c>
      <c r="L4" s="2484"/>
      <c r="M4" s="2485"/>
      <c r="N4" s="2485"/>
      <c r="O4" s="2485"/>
      <c r="P4" s="3438" t="s">
        <v>1672</v>
      </c>
      <c r="Q4" s="3439"/>
      <c r="R4" s="3436" t="s">
        <v>1668</v>
      </c>
      <c r="S4" s="3437"/>
      <c r="T4" s="3436" t="s">
        <v>1669</v>
      </c>
      <c r="U4" s="3437"/>
      <c r="V4" s="3398" t="s">
        <v>1670</v>
      </c>
      <c r="W4" s="3398"/>
      <c r="X4" s="1264"/>
      <c r="Y4" s="3436" t="s">
        <v>1672</v>
      </c>
      <c r="Z4" s="3437"/>
      <c r="AA4" s="3435" t="s">
        <v>1668</v>
      </c>
      <c r="AB4" s="3435" t="s">
        <v>1669</v>
      </c>
      <c r="AC4" s="3435" t="s">
        <v>1670</v>
      </c>
    </row>
    <row r="5" spans="1:29">
      <c r="A5" s="348"/>
      <c r="B5" s="349"/>
      <c r="C5" s="3378" t="s">
        <v>1673</v>
      </c>
      <c r="D5" s="3375"/>
      <c r="E5" s="3372" t="s">
        <v>1674</v>
      </c>
      <c r="F5" s="3373"/>
      <c r="G5" s="3378" t="s">
        <v>1675</v>
      </c>
      <c r="H5" s="3375"/>
      <c r="I5" s="3378" t="s">
        <v>1676</v>
      </c>
      <c r="J5" s="3375"/>
      <c r="K5" s="1744"/>
      <c r="L5" s="2484"/>
      <c r="M5" s="2485"/>
      <c r="N5" s="2485"/>
      <c r="O5" s="2485"/>
      <c r="P5" s="3440"/>
      <c r="Q5" s="3392"/>
      <c r="R5" s="3370"/>
      <c r="S5" s="3371"/>
      <c r="T5" s="3370"/>
      <c r="U5" s="3371"/>
      <c r="V5" s="3398"/>
      <c r="W5" s="3398"/>
      <c r="X5" s="1264"/>
      <c r="Y5" s="3370"/>
      <c r="Z5" s="3371"/>
      <c r="AA5" s="3364"/>
      <c r="AB5" s="3364"/>
      <c r="AC5" s="3364"/>
    </row>
    <row r="6" spans="1:29" ht="15" thickBot="1">
      <c r="A6" s="350"/>
      <c r="B6" s="351"/>
      <c r="C6" s="3376" t="s">
        <v>1677</v>
      </c>
      <c r="D6" s="3377"/>
      <c r="E6" s="3379" t="s">
        <v>1677</v>
      </c>
      <c r="F6" s="3380"/>
      <c r="G6" s="3376" t="s">
        <v>1677</v>
      </c>
      <c r="H6" s="3377"/>
      <c r="I6" s="3376" t="s">
        <v>1677</v>
      </c>
      <c r="J6" s="3377"/>
      <c r="K6" s="1744" t="s">
        <v>1678</v>
      </c>
      <c r="L6" s="2484"/>
      <c r="M6" s="2485"/>
      <c r="N6" s="2485"/>
      <c r="O6" s="2485"/>
      <c r="P6" s="3441"/>
      <c r="Q6" s="3394"/>
      <c r="R6" s="3370"/>
      <c r="S6" s="3371"/>
      <c r="T6" s="3395"/>
      <c r="U6" s="3396"/>
      <c r="V6" s="3398"/>
      <c r="W6" s="3398"/>
      <c r="X6" s="1264"/>
      <c r="Y6" s="3395"/>
      <c r="Z6" s="3396"/>
      <c r="AA6" s="3365"/>
      <c r="AB6" s="3365"/>
      <c r="AC6" s="3365"/>
    </row>
    <row r="7" spans="1:29" s="102" customFormat="1" ht="15" thickBot="1">
      <c r="A7" s="352" t="s">
        <v>1679</v>
      </c>
      <c r="B7" s="353"/>
      <c r="C7" s="354">
        <f>'数据-取费表'!B2</f>
        <v>45649</v>
      </c>
      <c r="D7" s="355">
        <v>100</v>
      </c>
      <c r="E7" s="356"/>
      <c r="F7" s="357">
        <f>SUMIF(58:58,YEAR(E7)&amp;"-"&amp;MONTH(E7),59:59)</f>
        <v>0</v>
      </c>
      <c r="G7" s="356"/>
      <c r="H7" s="355">
        <f>SUMIF(58:58,YEAR(G7)&amp;"-"&amp;MONTH(G7),59:59)</f>
        <v>0</v>
      </c>
      <c r="I7" s="356"/>
      <c r="J7" s="355">
        <f>SUMIF(58:58,YEAR(I7)&amp;"-"&amp;MONTH(I7),59:59)</f>
        <v>0</v>
      </c>
      <c r="K7" s="1745"/>
      <c r="L7" s="2486"/>
      <c r="M7" s="2438"/>
      <c r="N7" s="2438"/>
      <c r="O7" s="2438"/>
      <c r="P7" s="3366" t="s">
        <v>1680</v>
      </c>
      <c r="Q7" s="3400"/>
      <c r="R7" s="664" t="s">
        <v>20</v>
      </c>
      <c r="S7" s="665">
        <f t="shared" ref="S7:S15" si="0">F7</f>
        <v>0</v>
      </c>
      <c r="T7" s="664" t="s">
        <v>20</v>
      </c>
      <c r="U7" s="665">
        <f t="shared" ref="U7:U15" si="1">H7</f>
        <v>0</v>
      </c>
      <c r="V7" s="664" t="s">
        <v>20</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8"/>
      <c r="N8" s="2438"/>
      <c r="O8" s="2438"/>
      <c r="P8" s="3366" t="s">
        <v>1683</v>
      </c>
      <c r="Q8" s="3367"/>
      <c r="R8" s="664" t="s">
        <v>20</v>
      </c>
      <c r="S8" s="665">
        <f t="shared" si="0"/>
        <v>100</v>
      </c>
      <c r="T8" s="664" t="s">
        <v>20</v>
      </c>
      <c r="U8" s="665">
        <f t="shared" si="1"/>
        <v>100</v>
      </c>
      <c r="V8" s="664" t="s">
        <v>20</v>
      </c>
      <c r="W8" s="665">
        <f t="shared" si="2"/>
        <v>100</v>
      </c>
      <c r="X8" s="666"/>
      <c r="Y8" s="3366" t="s">
        <v>1683</v>
      </c>
      <c r="Z8" s="336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8"/>
      <c r="N9" s="2438"/>
      <c r="O9" s="2438"/>
      <c r="P9" s="338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1"/>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381"/>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81"/>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81"/>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1" t="s">
        <v>1691</v>
      </c>
      <c r="Q15" s="1262" t="str">
        <f t="shared" si="6"/>
        <v>居住社区成熟度</v>
      </c>
      <c r="R15" s="667" t="s">
        <v>18</v>
      </c>
      <c r="S15" s="668">
        <f t="shared" si="0"/>
        <v>100</v>
      </c>
      <c r="T15" s="667" t="s">
        <v>18</v>
      </c>
      <c r="U15" s="668">
        <f t="shared" si="1"/>
        <v>100</v>
      </c>
      <c r="V15" s="667" t="s">
        <v>18</v>
      </c>
      <c r="W15" s="668">
        <f t="shared" si="2"/>
        <v>100</v>
      </c>
      <c r="X15" s="1264"/>
      <c r="Y15" s="340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402"/>
      <c r="Q16" s="1262"/>
      <c r="R16" s="667"/>
      <c r="S16" s="668"/>
      <c r="T16" s="667"/>
      <c r="U16" s="668"/>
      <c r="V16" s="667"/>
      <c r="W16" s="668"/>
      <c r="X16" s="1264"/>
      <c r="Y16" s="3404"/>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2"/>
      <c r="Q17" s="1262" t="str">
        <f>B17</f>
        <v>交通便捷度</v>
      </c>
      <c r="R17" s="667" t="s">
        <v>18</v>
      </c>
      <c r="S17" s="668">
        <f>F17</f>
        <v>100</v>
      </c>
      <c r="T17" s="667" t="s">
        <v>18</v>
      </c>
      <c r="U17" s="668">
        <f>H17</f>
        <v>100</v>
      </c>
      <c r="V17" s="667" t="s">
        <v>18</v>
      </c>
      <c r="W17" s="668">
        <f>J17</f>
        <v>100</v>
      </c>
      <c r="X17" s="1264"/>
      <c r="Y17" s="340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402"/>
      <c r="Q18" s="1262"/>
      <c r="R18" s="667"/>
      <c r="S18" s="668"/>
      <c r="T18" s="667"/>
      <c r="U18" s="668"/>
      <c r="V18" s="667"/>
      <c r="W18" s="668"/>
      <c r="X18" s="1264"/>
      <c r="Y18" s="3404"/>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2"/>
      <c r="Q19" s="1262" t="str">
        <f>B19</f>
        <v>公共配套设施</v>
      </c>
      <c r="R19" s="667" t="s">
        <v>18</v>
      </c>
      <c r="S19" s="668">
        <f>F19</f>
        <v>100</v>
      </c>
      <c r="T19" s="667" t="s">
        <v>18</v>
      </c>
      <c r="U19" s="668">
        <f>H19</f>
        <v>100</v>
      </c>
      <c r="V19" s="667" t="s">
        <v>18</v>
      </c>
      <c r="W19" s="668">
        <f>J19</f>
        <v>100</v>
      </c>
      <c r="X19" s="1264"/>
      <c r="Y19" s="340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402"/>
      <c r="Q20" s="1262"/>
      <c r="R20" s="667"/>
      <c r="S20" s="668"/>
      <c r="T20" s="667"/>
      <c r="U20" s="668"/>
      <c r="V20" s="667"/>
      <c r="W20" s="668"/>
      <c r="X20" s="1264"/>
      <c r="Y20" s="3404"/>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2"/>
      <c r="Q21" s="1262" t="str">
        <f>B21</f>
        <v>基础设施水平</v>
      </c>
      <c r="R21" s="667" t="s">
        <v>14</v>
      </c>
      <c r="S21" s="668">
        <f>F21</f>
        <v>100</v>
      </c>
      <c r="T21" s="667" t="s">
        <v>14</v>
      </c>
      <c r="U21" s="668">
        <f>H21</f>
        <v>100</v>
      </c>
      <c r="V21" s="667" t="s">
        <v>14</v>
      </c>
      <c r="W21" s="668">
        <f>J21</f>
        <v>100</v>
      </c>
      <c r="X21" s="1264"/>
      <c r="Y21" s="340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402"/>
      <c r="Q22" s="1262"/>
      <c r="R22" s="667"/>
      <c r="S22" s="668"/>
      <c r="T22" s="667"/>
      <c r="U22" s="668"/>
      <c r="V22" s="667"/>
      <c r="W22" s="668"/>
      <c r="X22" s="1264"/>
      <c r="Y22" s="3404"/>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2"/>
      <c r="Q23" s="1262" t="str">
        <f>B23</f>
        <v>自然及人文环境</v>
      </c>
      <c r="R23" s="667" t="s">
        <v>18</v>
      </c>
      <c r="S23" s="668">
        <f>F23</f>
        <v>100</v>
      </c>
      <c r="T23" s="667" t="s">
        <v>18</v>
      </c>
      <c r="U23" s="668">
        <f>H23</f>
        <v>100</v>
      </c>
      <c r="V23" s="667" t="s">
        <v>18</v>
      </c>
      <c r="W23" s="668">
        <f>J23</f>
        <v>100</v>
      </c>
      <c r="X23" s="1264"/>
      <c r="Y23" s="340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402"/>
      <c r="Q24" s="1262"/>
      <c r="R24" s="667"/>
      <c r="S24" s="668"/>
      <c r="T24" s="667"/>
      <c r="U24" s="668"/>
      <c r="V24" s="667"/>
      <c r="W24" s="668"/>
      <c r="X24" s="1264"/>
      <c r="Y24" s="340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0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04"/>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402"/>
      <c r="Q26" s="1262" t="str">
        <f t="shared" si="11"/>
        <v>朝向</v>
      </c>
      <c r="R26" s="667" t="s">
        <v>18</v>
      </c>
      <c r="S26" s="668">
        <f t="shared" si="12"/>
        <v>100</v>
      </c>
      <c r="T26" s="667" t="s">
        <v>18</v>
      </c>
      <c r="U26" s="668">
        <f t="shared" si="13"/>
        <v>100</v>
      </c>
      <c r="V26" s="667" t="s">
        <v>18</v>
      </c>
      <c r="W26" s="668">
        <f t="shared" si="14"/>
        <v>100</v>
      </c>
      <c r="X26" s="1264"/>
      <c r="Y26" s="3404"/>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8"/>
      <c r="N27" s="2438"/>
      <c r="O27" s="2438"/>
      <c r="P27" s="3402"/>
      <c r="Q27" s="530">
        <f t="shared" si="11"/>
        <v>111</v>
      </c>
      <c r="R27" s="664" t="s">
        <v>18</v>
      </c>
      <c r="S27" s="665">
        <f t="shared" si="12"/>
        <v>100</v>
      </c>
      <c r="T27" s="664" t="s">
        <v>18</v>
      </c>
      <c r="U27" s="665">
        <f t="shared" si="13"/>
        <v>100</v>
      </c>
      <c r="V27" s="664" t="s">
        <v>18</v>
      </c>
      <c r="W27" s="665">
        <f t="shared" si="14"/>
        <v>100</v>
      </c>
      <c r="X27" s="666"/>
      <c r="Y27" s="3404"/>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02"/>
      <c r="Q28" s="1262">
        <f t="shared" si="11"/>
        <v>111</v>
      </c>
      <c r="R28" s="667" t="s">
        <v>18</v>
      </c>
      <c r="S28" s="668">
        <f t="shared" si="12"/>
        <v>100</v>
      </c>
      <c r="T28" s="667" t="s">
        <v>18</v>
      </c>
      <c r="U28" s="668">
        <f t="shared" si="13"/>
        <v>100</v>
      </c>
      <c r="V28" s="667" t="s">
        <v>18</v>
      </c>
      <c r="W28" s="668">
        <f t="shared" si="14"/>
        <v>100</v>
      </c>
      <c r="X28" s="1264"/>
      <c r="Y28" s="3404"/>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02"/>
      <c r="Q29" s="1262">
        <f t="shared" si="11"/>
        <v>111</v>
      </c>
      <c r="R29" s="667" t="s">
        <v>18</v>
      </c>
      <c r="S29" s="668">
        <f t="shared" si="12"/>
        <v>100</v>
      </c>
      <c r="T29" s="667" t="s">
        <v>18</v>
      </c>
      <c r="U29" s="668">
        <f t="shared" si="13"/>
        <v>100</v>
      </c>
      <c r="V29" s="667" t="s">
        <v>18</v>
      </c>
      <c r="W29" s="668">
        <f t="shared" si="14"/>
        <v>100</v>
      </c>
      <c r="X29" s="1264"/>
      <c r="Y29" s="3404"/>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02"/>
      <c r="Q30" s="1262">
        <f t="shared" si="11"/>
        <v>111</v>
      </c>
      <c r="R30" s="667" t="s">
        <v>18</v>
      </c>
      <c r="S30" s="668">
        <f t="shared" si="12"/>
        <v>100</v>
      </c>
      <c r="T30" s="667" t="s">
        <v>18</v>
      </c>
      <c r="U30" s="668">
        <f t="shared" si="13"/>
        <v>100</v>
      </c>
      <c r="V30" s="667" t="s">
        <v>18</v>
      </c>
      <c r="W30" s="668">
        <f t="shared" si="14"/>
        <v>100</v>
      </c>
      <c r="X30" s="1264"/>
      <c r="Y30" s="3404"/>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02"/>
      <c r="Q31" s="1262">
        <f t="shared" si="11"/>
        <v>111</v>
      </c>
      <c r="R31" s="667" t="s">
        <v>18</v>
      </c>
      <c r="S31" s="668">
        <f t="shared" si="12"/>
        <v>100</v>
      </c>
      <c r="T31" s="667" t="s">
        <v>18</v>
      </c>
      <c r="U31" s="668">
        <f t="shared" si="13"/>
        <v>100</v>
      </c>
      <c r="V31" s="667" t="s">
        <v>18</v>
      </c>
      <c r="W31" s="668">
        <f t="shared" si="14"/>
        <v>100</v>
      </c>
      <c r="X31" s="1264"/>
      <c r="Y31" s="3404"/>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405" t="s">
        <v>1696</v>
      </c>
      <c r="Q32" s="1262" t="str">
        <f t="shared" si="11"/>
        <v>建筑类型</v>
      </c>
      <c r="R32" s="667" t="s">
        <v>18</v>
      </c>
      <c r="S32" s="668">
        <f t="shared" si="12"/>
        <v>100</v>
      </c>
      <c r="T32" s="667" t="s">
        <v>18</v>
      </c>
      <c r="U32" s="668">
        <f t="shared" si="13"/>
        <v>100</v>
      </c>
      <c r="V32" s="667" t="s">
        <v>18</v>
      </c>
      <c r="W32" s="668">
        <f t="shared" si="14"/>
        <v>100</v>
      </c>
      <c r="X32" s="1264"/>
      <c r="Y32" s="3408"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406"/>
      <c r="Q33" s="531" t="str">
        <f t="shared" si="11"/>
        <v>项目建筑规模</v>
      </c>
      <c r="R33" s="669" t="s">
        <v>18</v>
      </c>
      <c r="S33" s="670" t="e">
        <f t="shared" si="12"/>
        <v>#N/A</v>
      </c>
      <c r="T33" s="669" t="s">
        <v>18</v>
      </c>
      <c r="U33" s="670" t="e">
        <f t="shared" si="13"/>
        <v>#N/A</v>
      </c>
      <c r="V33" s="669" t="s">
        <v>18</v>
      </c>
      <c r="W33" s="670" t="e">
        <f t="shared" si="14"/>
        <v>#N/A</v>
      </c>
      <c r="X33" s="671"/>
      <c r="Y33" s="3408"/>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406"/>
      <c r="Q34" s="1262" t="str">
        <f t="shared" si="11"/>
        <v>建筑结构</v>
      </c>
      <c r="R34" s="667" t="s">
        <v>18</v>
      </c>
      <c r="S34" s="668">
        <f t="shared" si="12"/>
        <v>100</v>
      </c>
      <c r="T34" s="667" t="s">
        <v>18</v>
      </c>
      <c r="U34" s="668">
        <f t="shared" si="13"/>
        <v>100</v>
      </c>
      <c r="V34" s="667" t="s">
        <v>18</v>
      </c>
      <c r="W34" s="668">
        <f t="shared" si="14"/>
        <v>100</v>
      </c>
      <c r="X34" s="1264"/>
      <c r="Y34" s="340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06"/>
      <c r="Q35" s="1262" t="str">
        <f t="shared" si="11"/>
        <v>建筑品质</v>
      </c>
      <c r="R35" s="667" t="s">
        <v>18</v>
      </c>
      <c r="S35" s="668">
        <f t="shared" si="12"/>
        <v>100</v>
      </c>
      <c r="T35" s="667" t="s">
        <v>18</v>
      </c>
      <c r="U35" s="668">
        <f t="shared" si="13"/>
        <v>100</v>
      </c>
      <c r="V35" s="667" t="s">
        <v>18</v>
      </c>
      <c r="W35" s="668">
        <f t="shared" si="14"/>
        <v>100</v>
      </c>
      <c r="X35" s="1264"/>
      <c r="Y35" s="340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06"/>
      <c r="Q36" s="1262" t="str">
        <f t="shared" si="11"/>
        <v>公共部分装修</v>
      </c>
      <c r="R36" s="667" t="s">
        <v>18</v>
      </c>
      <c r="S36" s="668">
        <f t="shared" si="12"/>
        <v>100</v>
      </c>
      <c r="T36" s="667" t="s">
        <v>18</v>
      </c>
      <c r="U36" s="668">
        <f t="shared" si="13"/>
        <v>100</v>
      </c>
      <c r="V36" s="667" t="s">
        <v>18</v>
      </c>
      <c r="W36" s="668">
        <f t="shared" si="14"/>
        <v>100</v>
      </c>
      <c r="X36" s="1264"/>
      <c r="Y36" s="3408"/>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6"/>
      <c r="Q37" s="530" t="str">
        <f t="shared" si="11"/>
        <v>成新度</v>
      </c>
      <c r="R37" s="664" t="s">
        <v>18</v>
      </c>
      <c r="S37" s="665" t="e">
        <f t="shared" si="12"/>
        <v>#N/A</v>
      </c>
      <c r="T37" s="664" t="s">
        <v>18</v>
      </c>
      <c r="U37" s="665" t="e">
        <f t="shared" si="13"/>
        <v>#N/A</v>
      </c>
      <c r="V37" s="664" t="s">
        <v>18</v>
      </c>
      <c r="W37" s="665" t="e">
        <f t="shared" si="14"/>
        <v>#N/A</v>
      </c>
      <c r="X37" s="666"/>
      <c r="Y37" s="3408"/>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06" t="s">
        <v>1696</v>
      </c>
      <c r="Q38" s="1262" t="str">
        <f t="shared" si="11"/>
        <v>物业管理</v>
      </c>
      <c r="R38" s="667" t="s">
        <v>18</v>
      </c>
      <c r="S38" s="668">
        <f t="shared" si="12"/>
        <v>100</v>
      </c>
      <c r="T38" s="667" t="s">
        <v>18</v>
      </c>
      <c r="U38" s="668">
        <f t="shared" si="13"/>
        <v>100</v>
      </c>
      <c r="V38" s="667" t="s">
        <v>18</v>
      </c>
      <c r="W38" s="668">
        <f t="shared" si="14"/>
        <v>100</v>
      </c>
      <c r="X38" s="1264"/>
      <c r="Y38" s="3408"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06"/>
      <c r="Q39" s="1262" t="str">
        <f t="shared" si="11"/>
        <v>市政基础设施</v>
      </c>
      <c r="R39" s="667" t="s">
        <v>18</v>
      </c>
      <c r="S39" s="668">
        <f t="shared" si="12"/>
        <v>100</v>
      </c>
      <c r="T39" s="667" t="s">
        <v>18</v>
      </c>
      <c r="U39" s="668">
        <f t="shared" si="13"/>
        <v>100</v>
      </c>
      <c r="V39" s="667" t="s">
        <v>18</v>
      </c>
      <c r="W39" s="668">
        <f t="shared" si="14"/>
        <v>100</v>
      </c>
      <c r="X39" s="1264"/>
      <c r="Y39" s="340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06"/>
      <c r="Q40" s="1262" t="str">
        <f t="shared" si="11"/>
        <v>房型</v>
      </c>
      <c r="R40" s="667" t="s">
        <v>18</v>
      </c>
      <c r="S40" s="668">
        <f t="shared" si="12"/>
        <v>100</v>
      </c>
      <c r="T40" s="667" t="s">
        <v>18</v>
      </c>
      <c r="U40" s="668">
        <f t="shared" si="13"/>
        <v>100</v>
      </c>
      <c r="V40" s="667" t="s">
        <v>18</v>
      </c>
      <c r="W40" s="668">
        <f t="shared" si="14"/>
        <v>100</v>
      </c>
      <c r="X40" s="1264"/>
      <c r="Y40" s="3408"/>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406"/>
      <c r="Q42" s="1262" t="str">
        <f t="shared" si="11"/>
        <v>内部装修</v>
      </c>
      <c r="R42" s="667" t="s">
        <v>18</v>
      </c>
      <c r="S42" s="668">
        <f t="shared" si="12"/>
        <v>100</v>
      </c>
      <c r="T42" s="667" t="s">
        <v>18</v>
      </c>
      <c r="U42" s="668">
        <f t="shared" si="13"/>
        <v>100</v>
      </c>
      <c r="V42" s="667" t="s">
        <v>18</v>
      </c>
      <c r="W42" s="668">
        <f t="shared" si="14"/>
        <v>100</v>
      </c>
      <c r="X42" s="1264"/>
      <c r="Y42" s="3408"/>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06"/>
      <c r="Q43" s="1262" t="str">
        <f t="shared" si="11"/>
        <v>内部装修维护情况</v>
      </c>
      <c r="R43" s="667" t="s">
        <v>18</v>
      </c>
      <c r="S43" s="668">
        <f t="shared" si="12"/>
        <v>100</v>
      </c>
      <c r="T43" s="667" t="s">
        <v>18</v>
      </c>
      <c r="U43" s="668">
        <f t="shared" si="13"/>
        <v>100</v>
      </c>
      <c r="V43" s="667" t="s">
        <v>18</v>
      </c>
      <c r="W43" s="668">
        <f t="shared" si="14"/>
        <v>100</v>
      </c>
      <c r="X43" s="1264"/>
      <c r="Y43" s="3408"/>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8"/>
      <c r="N44" s="2438"/>
      <c r="O44" s="2438"/>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06"/>
      <c r="Q45" s="1262">
        <f t="shared" si="11"/>
        <v>111</v>
      </c>
      <c r="R45" s="667" t="s">
        <v>18</v>
      </c>
      <c r="S45" s="668">
        <f t="shared" si="12"/>
        <v>100</v>
      </c>
      <c r="T45" s="667" t="s">
        <v>18</v>
      </c>
      <c r="U45" s="668">
        <f t="shared" si="13"/>
        <v>100</v>
      </c>
      <c r="V45" s="667" t="s">
        <v>18</v>
      </c>
      <c r="W45" s="668">
        <f t="shared" si="14"/>
        <v>100</v>
      </c>
      <c r="X45" s="1264"/>
      <c r="Y45" s="3408"/>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07"/>
      <c r="Q46" s="1262">
        <f t="shared" si="11"/>
        <v>111</v>
      </c>
      <c r="R46" s="667" t="s">
        <v>17</v>
      </c>
      <c r="S46" s="668">
        <f t="shared" si="12"/>
        <v>100</v>
      </c>
      <c r="T46" s="667" t="s">
        <v>17</v>
      </c>
      <c r="U46" s="668">
        <f t="shared" si="13"/>
        <v>100</v>
      </c>
      <c r="V46" s="667" t="s">
        <v>17</v>
      </c>
      <c r="W46" s="668">
        <f t="shared" si="14"/>
        <v>100</v>
      </c>
      <c r="X46" s="1264"/>
      <c r="Y46" s="3409"/>
      <c r="Z46" s="1263">
        <f t="shared" si="18"/>
        <v>111</v>
      </c>
      <c r="AA46" s="1263">
        <f t="shared" si="15"/>
        <v>1</v>
      </c>
      <c r="AB46" s="1263">
        <f t="shared" si="16"/>
        <v>1</v>
      </c>
      <c r="AC46" s="1263">
        <f t="shared" si="17"/>
        <v>1</v>
      </c>
    </row>
    <row r="47" spans="1:29" ht="14.4">
      <c r="A47" s="416" t="s">
        <v>1708</v>
      </c>
      <c r="B47" s="417"/>
      <c r="C47" s="1081" t="s">
        <v>16</v>
      </c>
      <c r="D47" s="418"/>
      <c r="E47" s="419"/>
      <c r="F47" s="420"/>
      <c r="G47" s="421"/>
      <c r="H47" s="422"/>
      <c r="I47" s="419"/>
      <c r="J47" s="422"/>
      <c r="K47" s="1766"/>
      <c r="L47" s="2492"/>
      <c r="M47" s="2485"/>
      <c r="N47" s="2485"/>
      <c r="O47" s="2485"/>
      <c r="P47" s="3410" t="str">
        <f>A47</f>
        <v>成交单价（元/平方米）</v>
      </c>
      <c r="Q47" s="3410"/>
      <c r="R47" s="3398">
        <f>E47</f>
        <v>0</v>
      </c>
      <c r="S47" s="3398"/>
      <c r="T47" s="3398">
        <f>G47</f>
        <v>0</v>
      </c>
      <c r="U47" s="3398"/>
      <c r="V47" s="3398">
        <f>I47</f>
        <v>0</v>
      </c>
      <c r="W47" s="3398"/>
      <c r="X47" s="385"/>
      <c r="Y47" s="673"/>
      <c r="Z47" s="385"/>
      <c r="AA47" s="385"/>
      <c r="AB47" s="385"/>
      <c r="AC47" s="385"/>
    </row>
    <row r="48" spans="1:29" ht="15" thickBot="1">
      <c r="A48" s="423" t="s">
        <v>1709</v>
      </c>
      <c r="B48" s="424"/>
      <c r="C48" s="1082" t="e">
        <f>R49</f>
        <v>#DIV/0!</v>
      </c>
      <c r="D48" s="2140" t="s">
        <v>2135</v>
      </c>
      <c r="E48" s="1083" t="e">
        <f>R48</f>
        <v>#DIV/0!</v>
      </c>
      <c r="F48" s="2141"/>
      <c r="G48" s="1082" t="e">
        <f>T48</f>
        <v>#DIV/0!</v>
      </c>
      <c r="H48" s="2141"/>
      <c r="I48" s="1083" t="e">
        <f>V48</f>
        <v>#DIV/0!</v>
      </c>
      <c r="J48" s="2141"/>
      <c r="K48" s="2142">
        <f>F48+H48+J48</f>
        <v>0</v>
      </c>
      <c r="L48" s="2492"/>
      <c r="M48" s="2485"/>
      <c r="N48" s="2485"/>
      <c r="O48" s="2485"/>
      <c r="P48" s="3410" t="str">
        <f>A48</f>
        <v>比较价值（元/平方米）</v>
      </c>
      <c r="Q48" s="3410"/>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 thickBot="1">
      <c r="A49" s="427" t="s">
        <v>1710</v>
      </c>
      <c r="B49" s="428"/>
      <c r="C49" s="1084" t="e">
        <f>R49</f>
        <v>#DIV/0!</v>
      </c>
      <c r="D49" s="351"/>
      <c r="E49" s="351"/>
      <c r="F49" s="351"/>
      <c r="G49" s="351"/>
      <c r="H49" s="351"/>
      <c r="I49" s="351"/>
      <c r="J49" s="351"/>
      <c r="K49" s="1767"/>
      <c r="L49" s="2492"/>
      <c r="M49" s="2485"/>
      <c r="N49" s="2485"/>
      <c r="O49" s="2485"/>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1"/>
      <c r="C59" s="1102">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1766</v>
      </c>
      <c r="C1" s="1155" t="s">
        <v>1662</v>
      </c>
      <c r="D1" s="1142"/>
      <c r="E1" s="3122"/>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179.5</v>
      </c>
      <c r="E3" s="1804"/>
      <c r="F3" s="856"/>
      <c r="G3" s="855"/>
      <c r="H3" s="855"/>
      <c r="I3" s="855"/>
      <c r="J3" s="855"/>
      <c r="K3" s="857"/>
      <c r="L3" s="2501"/>
      <c r="M3" s="2502"/>
      <c r="N3" s="2502"/>
      <c r="O3" s="2502"/>
      <c r="P3" s="1803"/>
      <c r="Q3" s="859"/>
      <c r="R3" s="859"/>
      <c r="S3" s="859"/>
      <c r="T3" s="859"/>
      <c r="U3" s="859"/>
      <c r="V3" s="859"/>
      <c r="W3" s="859"/>
      <c r="X3" s="859"/>
      <c r="Y3" s="859"/>
      <c r="Z3" s="859"/>
      <c r="AA3" s="859"/>
      <c r="AB3" s="859"/>
      <c r="AC3" s="1804"/>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438" t="s">
        <v>1775</v>
      </c>
      <c r="Q4" s="3439"/>
      <c r="R4" s="3436" t="s">
        <v>1771</v>
      </c>
      <c r="S4" s="3437"/>
      <c r="T4" s="3436" t="s">
        <v>1772</v>
      </c>
      <c r="U4" s="3437"/>
      <c r="V4" s="3398" t="s">
        <v>1773</v>
      </c>
      <c r="W4" s="3398"/>
      <c r="X4" s="1264"/>
      <c r="Y4" s="3436" t="s">
        <v>1775</v>
      </c>
      <c r="Z4" s="3437"/>
      <c r="AA4" s="3435" t="s">
        <v>1771</v>
      </c>
      <c r="AB4" s="3398" t="s">
        <v>1772</v>
      </c>
      <c r="AC4" s="3435" t="s">
        <v>1773</v>
      </c>
    </row>
    <row r="5" spans="1:29">
      <c r="A5" s="348"/>
      <c r="B5" s="349"/>
      <c r="C5" s="3378" t="s">
        <v>1673</v>
      </c>
      <c r="D5" s="3375"/>
      <c r="E5" s="3372" t="s">
        <v>1674</v>
      </c>
      <c r="F5" s="3373"/>
      <c r="G5" s="3378" t="s">
        <v>1675</v>
      </c>
      <c r="H5" s="3375"/>
      <c r="I5" s="3378" t="s">
        <v>1676</v>
      </c>
      <c r="J5" s="3375"/>
      <c r="K5" s="537"/>
      <c r="L5" s="2484"/>
      <c r="M5" s="2485"/>
      <c r="N5" s="2485"/>
      <c r="O5" s="2485"/>
      <c r="P5" s="3440"/>
      <c r="Q5" s="3392"/>
      <c r="R5" s="3370"/>
      <c r="S5" s="3371"/>
      <c r="T5" s="3370"/>
      <c r="U5" s="3371"/>
      <c r="V5" s="3398"/>
      <c r="W5" s="3398"/>
      <c r="X5" s="1264"/>
      <c r="Y5" s="3370"/>
      <c r="Z5" s="3371"/>
      <c r="AA5" s="3364"/>
      <c r="AB5" s="3398"/>
      <c r="AC5" s="3364"/>
    </row>
    <row r="6" spans="1:29" ht="15" thickBot="1">
      <c r="A6" s="350"/>
      <c r="B6" s="351"/>
      <c r="C6" s="3376" t="s">
        <v>1677</v>
      </c>
      <c r="D6" s="3377"/>
      <c r="E6" s="3379" t="s">
        <v>1677</v>
      </c>
      <c r="F6" s="3380"/>
      <c r="G6" s="3376" t="s">
        <v>1677</v>
      </c>
      <c r="H6" s="3377"/>
      <c r="I6" s="3376" t="s">
        <v>1677</v>
      </c>
      <c r="J6" s="3377"/>
      <c r="K6" s="537" t="s">
        <v>1678</v>
      </c>
      <c r="L6" s="2484"/>
      <c r="M6" s="2485"/>
      <c r="N6" s="2485"/>
      <c r="O6" s="2485"/>
      <c r="P6" s="3441"/>
      <c r="Q6" s="3394"/>
      <c r="R6" s="3370"/>
      <c r="S6" s="3371"/>
      <c r="T6" s="3395"/>
      <c r="U6" s="3396"/>
      <c r="V6" s="3398"/>
      <c r="W6" s="3398"/>
      <c r="X6" s="1264"/>
      <c r="Y6" s="3395"/>
      <c r="Z6" s="3396"/>
      <c r="AA6" s="3365"/>
      <c r="AB6" s="3398"/>
      <c r="AC6" s="3365"/>
    </row>
    <row r="7" spans="1:29" s="102" customFormat="1" ht="15" thickBot="1">
      <c r="A7" s="352" t="s">
        <v>1679</v>
      </c>
      <c r="B7" s="353"/>
      <c r="C7" s="354">
        <f>'数据-取费表'!B2</f>
        <v>45649</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6" t="s">
        <v>1680</v>
      </c>
      <c r="Q7" s="3400"/>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6" t="s">
        <v>1683</v>
      </c>
      <c r="Q8" s="3367"/>
      <c r="R8" s="664" t="s">
        <v>14</v>
      </c>
      <c r="S8" s="665">
        <f t="shared" si="0"/>
        <v>100</v>
      </c>
      <c r="T8" s="664" t="s">
        <v>14</v>
      </c>
      <c r="U8" s="665">
        <f t="shared" si="1"/>
        <v>100</v>
      </c>
      <c r="V8" s="664" t="s">
        <v>14</v>
      </c>
      <c r="W8" s="665">
        <f t="shared" si="2"/>
        <v>100</v>
      </c>
      <c r="X8" s="666"/>
      <c r="Y8" s="3366" t="s">
        <v>1683</v>
      </c>
      <c r="Z8" s="336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1"/>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1" t="s">
        <v>1691</v>
      </c>
      <c r="Q15" s="1262" t="str">
        <f t="shared" si="6"/>
        <v>商业繁华度</v>
      </c>
      <c r="R15" s="667" t="s">
        <v>14</v>
      </c>
      <c r="S15" s="668">
        <f t="shared" si="0"/>
        <v>100</v>
      </c>
      <c r="T15" s="667" t="s">
        <v>14</v>
      </c>
      <c r="U15" s="668">
        <f t="shared" si="1"/>
        <v>100</v>
      </c>
      <c r="V15" s="667" t="s">
        <v>14</v>
      </c>
      <c r="W15" s="668">
        <f t="shared" si="2"/>
        <v>100</v>
      </c>
      <c r="X15" s="1264"/>
      <c r="Y15" s="340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02"/>
      <c r="Q16" s="1262"/>
      <c r="R16" s="667"/>
      <c r="S16" s="668"/>
      <c r="T16" s="667"/>
      <c r="U16" s="668"/>
      <c r="V16" s="667"/>
      <c r="W16" s="668"/>
      <c r="X16" s="1264"/>
      <c r="Y16" s="3404"/>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2"/>
      <c r="Q17" s="1262" t="str">
        <f>B17</f>
        <v>交通便捷度</v>
      </c>
      <c r="R17" s="667" t="s">
        <v>14</v>
      </c>
      <c r="S17" s="668">
        <f>F17</f>
        <v>100</v>
      </c>
      <c r="T17" s="667" t="s">
        <v>14</v>
      </c>
      <c r="U17" s="668">
        <f>H17</f>
        <v>100</v>
      </c>
      <c r="V17" s="667" t="s">
        <v>14</v>
      </c>
      <c r="W17" s="668">
        <f>J17</f>
        <v>100</v>
      </c>
      <c r="X17" s="1264"/>
      <c r="Y17" s="340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02"/>
      <c r="Q18" s="1262"/>
      <c r="R18" s="667"/>
      <c r="S18" s="668"/>
      <c r="T18" s="667"/>
      <c r="U18" s="668"/>
      <c r="V18" s="667"/>
      <c r="W18" s="668"/>
      <c r="X18" s="1264"/>
      <c r="Y18" s="3404"/>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2"/>
      <c r="Q19" s="1262" t="str">
        <f>B19</f>
        <v>公共配套设施</v>
      </c>
      <c r="R19" s="667" t="s">
        <v>14</v>
      </c>
      <c r="S19" s="668">
        <f>F19</f>
        <v>100</v>
      </c>
      <c r="T19" s="667" t="s">
        <v>14</v>
      </c>
      <c r="U19" s="668">
        <f>H19</f>
        <v>100</v>
      </c>
      <c r="V19" s="667" t="s">
        <v>14</v>
      </c>
      <c r="W19" s="668">
        <f>J19</f>
        <v>100</v>
      </c>
      <c r="X19" s="1264"/>
      <c r="Y19" s="340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02"/>
      <c r="Q20" s="1262"/>
      <c r="R20" s="667"/>
      <c r="S20" s="668"/>
      <c r="T20" s="667"/>
      <c r="U20" s="668"/>
      <c r="V20" s="667"/>
      <c r="W20" s="668"/>
      <c r="X20" s="1264"/>
      <c r="Y20" s="3404"/>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2"/>
      <c r="Q21" s="1262" t="str">
        <f>B21</f>
        <v>基础设施水平</v>
      </c>
      <c r="R21" s="667" t="s">
        <v>14</v>
      </c>
      <c r="S21" s="668">
        <f>F21</f>
        <v>100</v>
      </c>
      <c r="T21" s="667" t="s">
        <v>14</v>
      </c>
      <c r="U21" s="668">
        <f>H21</f>
        <v>100</v>
      </c>
      <c r="V21" s="667" t="s">
        <v>14</v>
      </c>
      <c r="W21" s="668">
        <f>J21</f>
        <v>100</v>
      </c>
      <c r="X21" s="1264"/>
      <c r="Y21" s="340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02"/>
      <c r="Q22" s="1262"/>
      <c r="R22" s="667"/>
      <c r="S22" s="668"/>
      <c r="T22" s="667"/>
      <c r="U22" s="668"/>
      <c r="V22" s="667"/>
      <c r="W22" s="668"/>
      <c r="X22" s="1264"/>
      <c r="Y22" s="3404"/>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2"/>
      <c r="Q23" s="1262" t="str">
        <f>B23</f>
        <v>自然及人文环境</v>
      </c>
      <c r="R23" s="667" t="s">
        <v>14</v>
      </c>
      <c r="S23" s="668">
        <f>F23</f>
        <v>100</v>
      </c>
      <c r="T23" s="667" t="s">
        <v>14</v>
      </c>
      <c r="U23" s="668">
        <f>H23</f>
        <v>100</v>
      </c>
      <c r="V23" s="667" t="s">
        <v>14</v>
      </c>
      <c r="W23" s="668">
        <f>J23</f>
        <v>100</v>
      </c>
      <c r="X23" s="1264"/>
      <c r="Y23" s="3404"/>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02"/>
      <c r="Q24" s="1262"/>
      <c r="R24" s="667"/>
      <c r="S24" s="668"/>
      <c r="T24" s="667"/>
      <c r="U24" s="668"/>
      <c r="V24" s="667"/>
      <c r="W24" s="668"/>
      <c r="X24" s="1264"/>
      <c r="Y24" s="340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2"/>
      <c r="Q25" s="1262" t="str">
        <f t="shared" ref="Q25:Q46" si="11">B25</f>
        <v>临街状况</v>
      </c>
      <c r="R25" s="667" t="s">
        <v>14</v>
      </c>
      <c r="S25" s="668">
        <f>F25</f>
        <v>100</v>
      </c>
      <c r="T25" s="667" t="s">
        <v>14</v>
      </c>
      <c r="U25" s="668">
        <f>H25</f>
        <v>100</v>
      </c>
      <c r="V25" s="667" t="s">
        <v>14</v>
      </c>
      <c r="W25" s="668">
        <f>J25</f>
        <v>100</v>
      </c>
      <c r="X25" s="1264"/>
      <c r="Y25" s="3404"/>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2"/>
      <c r="Q26" s="1262" t="str">
        <f t="shared" si="11"/>
        <v>平面位置/可视性</v>
      </c>
      <c r="R26" s="667" t="s">
        <v>14</v>
      </c>
      <c r="S26" s="668">
        <f>F26</f>
        <v>100</v>
      </c>
      <c r="T26" s="667" t="s">
        <v>14</v>
      </c>
      <c r="U26" s="668">
        <f>H26</f>
        <v>100</v>
      </c>
      <c r="V26" s="667" t="s">
        <v>14</v>
      </c>
      <c r="W26" s="668">
        <f>J26</f>
        <v>100</v>
      </c>
      <c r="X26" s="1264"/>
      <c r="Y26" s="3404"/>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8"/>
      <c r="N27" s="2438"/>
      <c r="O27" s="2438"/>
      <c r="P27" s="3402"/>
      <c r="Q27" s="530" t="str">
        <f t="shared" si="11"/>
        <v>人流量</v>
      </c>
      <c r="R27" s="664" t="s">
        <v>14</v>
      </c>
      <c r="S27" s="665">
        <f>F27</f>
        <v>100</v>
      </c>
      <c r="T27" s="664" t="s">
        <v>14</v>
      </c>
      <c r="U27" s="665">
        <f>H27</f>
        <v>100</v>
      </c>
      <c r="V27" s="664" t="s">
        <v>14</v>
      </c>
      <c r="W27" s="665">
        <f>J27</f>
        <v>100</v>
      </c>
      <c r="X27" s="666"/>
      <c r="Y27" s="340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04"/>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2"/>
      <c r="Q29" s="1262">
        <f t="shared" si="11"/>
        <v>111</v>
      </c>
      <c r="R29" s="667" t="s">
        <v>14</v>
      </c>
      <c r="S29" s="668">
        <f t="shared" si="12"/>
        <v>100</v>
      </c>
      <c r="T29" s="667" t="s">
        <v>14</v>
      </c>
      <c r="U29" s="668">
        <f t="shared" si="13"/>
        <v>100</v>
      </c>
      <c r="V29" s="667" t="s">
        <v>14</v>
      </c>
      <c r="W29" s="668">
        <f t="shared" si="14"/>
        <v>100</v>
      </c>
      <c r="X29" s="1264"/>
      <c r="Y29" s="3404"/>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2"/>
      <c r="Q30" s="1262">
        <f t="shared" si="11"/>
        <v>111</v>
      </c>
      <c r="R30" s="667" t="s">
        <v>14</v>
      </c>
      <c r="S30" s="668">
        <f t="shared" si="12"/>
        <v>100</v>
      </c>
      <c r="T30" s="667" t="s">
        <v>14</v>
      </c>
      <c r="U30" s="668">
        <f t="shared" si="13"/>
        <v>100</v>
      </c>
      <c r="V30" s="667" t="s">
        <v>14</v>
      </c>
      <c r="W30" s="668">
        <f t="shared" si="14"/>
        <v>100</v>
      </c>
      <c r="X30" s="1264"/>
      <c r="Y30" s="3404"/>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2"/>
      <c r="Q31" s="1262">
        <f t="shared" si="11"/>
        <v>111</v>
      </c>
      <c r="R31" s="667" t="s">
        <v>14</v>
      </c>
      <c r="S31" s="668">
        <f t="shared" si="12"/>
        <v>100</v>
      </c>
      <c r="T31" s="667" t="s">
        <v>14</v>
      </c>
      <c r="U31" s="668">
        <f t="shared" si="13"/>
        <v>100</v>
      </c>
      <c r="V31" s="667" t="s">
        <v>14</v>
      </c>
      <c r="W31" s="668">
        <f t="shared" si="14"/>
        <v>100</v>
      </c>
      <c r="X31" s="1264"/>
      <c r="Y31" s="3404"/>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05" t="s">
        <v>1696</v>
      </c>
      <c r="Q32" s="1262" t="str">
        <f t="shared" si="11"/>
        <v>商业类型</v>
      </c>
      <c r="R32" s="667" t="s">
        <v>14</v>
      </c>
      <c r="S32" s="668">
        <f t="shared" si="12"/>
        <v>100</v>
      </c>
      <c r="T32" s="667" t="s">
        <v>14</v>
      </c>
      <c r="U32" s="668">
        <f t="shared" si="13"/>
        <v>100</v>
      </c>
      <c r="V32" s="667" t="s">
        <v>14</v>
      </c>
      <c r="W32" s="668">
        <f t="shared" si="14"/>
        <v>100</v>
      </c>
      <c r="X32" s="1264"/>
      <c r="Y32" s="3408"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6"/>
      <c r="Q33" s="531" t="str">
        <f t="shared" si="11"/>
        <v>项目建筑规模</v>
      </c>
      <c r="R33" s="669" t="s">
        <v>14</v>
      </c>
      <c r="S33" s="670" t="e">
        <f t="shared" si="12"/>
        <v>#N/A</v>
      </c>
      <c r="T33" s="669" t="s">
        <v>14</v>
      </c>
      <c r="U33" s="670" t="e">
        <f t="shared" si="13"/>
        <v>#N/A</v>
      </c>
      <c r="V33" s="669" t="s">
        <v>14</v>
      </c>
      <c r="W33" s="670" t="e">
        <f t="shared" si="14"/>
        <v>#N/A</v>
      </c>
      <c r="X33" s="671"/>
      <c r="Y33" s="3408"/>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6"/>
      <c r="Q34" s="1262" t="str">
        <f t="shared" si="11"/>
        <v>建筑结构</v>
      </c>
      <c r="R34" s="667" t="s">
        <v>14</v>
      </c>
      <c r="S34" s="668">
        <f t="shared" si="12"/>
        <v>100</v>
      </c>
      <c r="T34" s="667" t="s">
        <v>14</v>
      </c>
      <c r="U34" s="668">
        <f t="shared" si="13"/>
        <v>100</v>
      </c>
      <c r="V34" s="667" t="s">
        <v>14</v>
      </c>
      <c r="W34" s="668">
        <f t="shared" si="14"/>
        <v>100</v>
      </c>
      <c r="X34" s="1264"/>
      <c r="Y34" s="3408"/>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06"/>
      <c r="Q35" s="1262" t="str">
        <f t="shared" si="11"/>
        <v>公共部分装修</v>
      </c>
      <c r="R35" s="667" t="s">
        <v>14</v>
      </c>
      <c r="S35" s="668">
        <f t="shared" si="12"/>
        <v>100</v>
      </c>
      <c r="T35" s="667" t="s">
        <v>14</v>
      </c>
      <c r="U35" s="668">
        <f t="shared" si="13"/>
        <v>100</v>
      </c>
      <c r="V35" s="667" t="s">
        <v>14</v>
      </c>
      <c r="W35" s="668">
        <f t="shared" si="14"/>
        <v>100</v>
      </c>
      <c r="X35" s="1264"/>
      <c r="Y35" s="3408"/>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6"/>
      <c r="Q36" s="1262" t="str">
        <f t="shared" si="11"/>
        <v>成新度</v>
      </c>
      <c r="R36" s="667" t="s">
        <v>14</v>
      </c>
      <c r="S36" s="668" t="e">
        <f t="shared" si="12"/>
        <v>#N/A</v>
      </c>
      <c r="T36" s="667" t="s">
        <v>14</v>
      </c>
      <c r="U36" s="668" t="e">
        <f t="shared" si="13"/>
        <v>#N/A</v>
      </c>
      <c r="V36" s="667" t="s">
        <v>14</v>
      </c>
      <c r="W36" s="668" t="e">
        <f t="shared" si="14"/>
        <v>#N/A</v>
      </c>
      <c r="X36" s="1264"/>
      <c r="Y36" s="3408"/>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8"/>
      <c r="N37" s="2438"/>
      <c r="O37" s="2438"/>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06" t="s">
        <v>1696</v>
      </c>
      <c r="Q38" s="1262" t="str">
        <f t="shared" si="11"/>
        <v>业态</v>
      </c>
      <c r="R38" s="667" t="s">
        <v>14</v>
      </c>
      <c r="S38" s="668">
        <f t="shared" si="12"/>
        <v>100</v>
      </c>
      <c r="T38" s="667" t="s">
        <v>14</v>
      </c>
      <c r="U38" s="668">
        <f t="shared" si="13"/>
        <v>100</v>
      </c>
      <c r="V38" s="667" t="s">
        <v>14</v>
      </c>
      <c r="W38" s="668">
        <f t="shared" si="14"/>
        <v>100</v>
      </c>
      <c r="X38" s="1264"/>
      <c r="Y38" s="3408"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06"/>
      <c r="Q39" s="1262" t="str">
        <f t="shared" si="11"/>
        <v>层高</v>
      </c>
      <c r="R39" s="667" t="s">
        <v>14</v>
      </c>
      <c r="S39" s="668">
        <f t="shared" si="12"/>
        <v>100</v>
      </c>
      <c r="T39" s="667" t="s">
        <v>14</v>
      </c>
      <c r="U39" s="668">
        <f t="shared" si="13"/>
        <v>100</v>
      </c>
      <c r="V39" s="667" t="s">
        <v>14</v>
      </c>
      <c r="W39" s="668">
        <f t="shared" si="14"/>
        <v>100</v>
      </c>
      <c r="X39" s="1264"/>
      <c r="Y39" s="340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6"/>
      <c r="Q40" s="1262" t="str">
        <f t="shared" si="11"/>
        <v>单套建筑面积</v>
      </c>
      <c r="R40" s="667" t="s">
        <v>14</v>
      </c>
      <c r="S40" s="668">
        <f t="shared" si="12"/>
        <v>100</v>
      </c>
      <c r="T40" s="667" t="s">
        <v>14</v>
      </c>
      <c r="U40" s="668">
        <f t="shared" si="13"/>
        <v>100</v>
      </c>
      <c r="V40" s="667" t="s">
        <v>14</v>
      </c>
      <c r="W40" s="668">
        <f t="shared" si="14"/>
        <v>100</v>
      </c>
      <c r="X40" s="1264"/>
      <c r="Y40" s="340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06"/>
      <c r="Q42" s="1262" t="str">
        <f t="shared" si="11"/>
        <v>内部装修</v>
      </c>
      <c r="R42" s="667" t="s">
        <v>14</v>
      </c>
      <c r="S42" s="668">
        <f t="shared" si="12"/>
        <v>100</v>
      </c>
      <c r="T42" s="667" t="s">
        <v>14</v>
      </c>
      <c r="U42" s="668">
        <f t="shared" si="13"/>
        <v>100</v>
      </c>
      <c r="V42" s="667" t="s">
        <v>14</v>
      </c>
      <c r="W42" s="668">
        <f t="shared" si="14"/>
        <v>100</v>
      </c>
      <c r="X42" s="1264"/>
      <c r="Y42" s="3408"/>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06"/>
      <c r="Q43" s="1262" t="str">
        <f t="shared" si="11"/>
        <v>内部装修维护情况</v>
      </c>
      <c r="R43" s="667" t="s">
        <v>14</v>
      </c>
      <c r="S43" s="668">
        <f t="shared" si="12"/>
        <v>100</v>
      </c>
      <c r="T43" s="667" t="s">
        <v>14</v>
      </c>
      <c r="U43" s="668">
        <f t="shared" si="13"/>
        <v>100</v>
      </c>
      <c r="V43" s="667" t="s">
        <v>14</v>
      </c>
      <c r="W43" s="668">
        <f t="shared" si="14"/>
        <v>100</v>
      </c>
      <c r="X43" s="1264"/>
      <c r="Y43" s="3408"/>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6"/>
      <c r="Q45" s="1262">
        <f t="shared" si="11"/>
        <v>111</v>
      </c>
      <c r="R45" s="667" t="s">
        <v>14</v>
      </c>
      <c r="S45" s="668">
        <f t="shared" si="12"/>
        <v>100</v>
      </c>
      <c r="T45" s="667" t="s">
        <v>14</v>
      </c>
      <c r="U45" s="668">
        <f t="shared" si="13"/>
        <v>100</v>
      </c>
      <c r="V45" s="667" t="s">
        <v>14</v>
      </c>
      <c r="W45" s="668">
        <f t="shared" si="14"/>
        <v>100</v>
      </c>
      <c r="X45" s="1264"/>
      <c r="Y45" s="3408"/>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7"/>
      <c r="Q46" s="1262">
        <f t="shared" si="11"/>
        <v>111</v>
      </c>
      <c r="R46" s="667" t="s">
        <v>14</v>
      </c>
      <c r="S46" s="668">
        <f t="shared" si="12"/>
        <v>100</v>
      </c>
      <c r="T46" s="667" t="s">
        <v>14</v>
      </c>
      <c r="U46" s="668">
        <f t="shared" si="13"/>
        <v>100</v>
      </c>
      <c r="V46" s="667" t="s">
        <v>14</v>
      </c>
      <c r="W46" s="668">
        <f t="shared" si="14"/>
        <v>100</v>
      </c>
      <c r="X46" s="1264"/>
      <c r="Y46" s="3409"/>
      <c r="Z46" s="1263">
        <f t="shared" si="15"/>
        <v>111</v>
      </c>
      <c r="AA46" s="1263">
        <f t="shared" si="3"/>
        <v>1</v>
      </c>
      <c r="AB46" s="1263">
        <f t="shared" si="4"/>
        <v>1</v>
      </c>
      <c r="AC46" s="1263">
        <f t="shared" si="5"/>
        <v>1</v>
      </c>
    </row>
    <row r="47" spans="1:29" ht="14.4">
      <c r="A47" s="416" t="s">
        <v>1708</v>
      </c>
      <c r="B47" s="417"/>
      <c r="C47" s="1081" t="s">
        <v>0</v>
      </c>
      <c r="D47" s="418"/>
      <c r="E47" s="419"/>
      <c r="F47" s="420"/>
      <c r="G47" s="421"/>
      <c r="H47" s="422"/>
      <c r="I47" s="419"/>
      <c r="J47" s="422"/>
      <c r="K47" s="674"/>
      <c r="L47" s="2492"/>
      <c r="M47" s="2485"/>
      <c r="N47" s="2485"/>
      <c r="O47" s="2485"/>
      <c r="P47" s="3410" t="str">
        <f>A47</f>
        <v>成交单价（元/平方米）</v>
      </c>
      <c r="Q47" s="3410"/>
      <c r="R47" s="3398">
        <f>E47</f>
        <v>0</v>
      </c>
      <c r="S47" s="3398"/>
      <c r="T47" s="3398">
        <f>G47</f>
        <v>0</v>
      </c>
      <c r="U47" s="3398"/>
      <c r="V47" s="3398">
        <f>I47</f>
        <v>0</v>
      </c>
      <c r="W47" s="3398"/>
      <c r="X47" s="385"/>
      <c r="Y47" s="673"/>
      <c r="Z47" s="385"/>
      <c r="AA47" s="385"/>
      <c r="AB47" s="385"/>
      <c r="AC47" s="385"/>
    </row>
    <row r="48" spans="1:29" ht="15" thickBot="1">
      <c r="A48" s="423" t="s">
        <v>1793</v>
      </c>
      <c r="B48" s="424"/>
      <c r="C48" s="1082" t="e">
        <f>R49</f>
        <v>#DIV/0!</v>
      </c>
      <c r="D48" s="2140" t="s">
        <v>2135</v>
      </c>
      <c r="E48" s="1083" t="e">
        <f>R48</f>
        <v>#DIV/0!</v>
      </c>
      <c r="F48" s="2141"/>
      <c r="G48" s="1082" t="e">
        <f>T48</f>
        <v>#DIV/0!</v>
      </c>
      <c r="H48" s="2141"/>
      <c r="I48" s="1083" t="e">
        <f>V48</f>
        <v>#DIV/0!</v>
      </c>
      <c r="J48" s="2141"/>
      <c r="K48" s="2143">
        <f>F48+H48+J48</f>
        <v>0</v>
      </c>
      <c r="L48" s="2492"/>
      <c r="M48" s="2485"/>
      <c r="N48" s="2485"/>
      <c r="O48" s="2485"/>
      <c r="P48" s="3410" t="str">
        <f>A48</f>
        <v>比较价值（元/平方米）</v>
      </c>
      <c r="Q48" s="3410"/>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9"/>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29"/>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860"/>
      <c r="M4" s="861"/>
      <c r="N4" s="861"/>
      <c r="O4" s="861"/>
      <c r="P4" s="3438" t="s">
        <v>1775</v>
      </c>
      <c r="Q4" s="3439"/>
      <c r="R4" s="3436" t="s">
        <v>1771</v>
      </c>
      <c r="S4" s="3437"/>
      <c r="T4" s="3436" t="s">
        <v>1772</v>
      </c>
      <c r="U4" s="3437"/>
      <c r="V4" s="3398" t="s">
        <v>1773</v>
      </c>
      <c r="W4" s="3398"/>
      <c r="X4" s="1264"/>
      <c r="Y4" s="3436" t="s">
        <v>1775</v>
      </c>
      <c r="Z4" s="3437"/>
      <c r="AA4" s="3435" t="s">
        <v>1771</v>
      </c>
      <c r="AB4" s="3364" t="s">
        <v>1772</v>
      </c>
      <c r="AC4" s="3435" t="s">
        <v>1773</v>
      </c>
    </row>
    <row r="5" spans="1:29">
      <c r="A5" s="348"/>
      <c r="B5" s="349"/>
      <c r="C5" s="3378" t="s">
        <v>1673</v>
      </c>
      <c r="D5" s="3375"/>
      <c r="E5" s="3372" t="s">
        <v>1674</v>
      </c>
      <c r="F5" s="3373"/>
      <c r="G5" s="3378" t="s">
        <v>1675</v>
      </c>
      <c r="H5" s="3375"/>
      <c r="I5" s="3378" t="s">
        <v>1676</v>
      </c>
      <c r="J5" s="3375"/>
      <c r="K5" s="537"/>
      <c r="L5" s="860"/>
      <c r="M5" s="861"/>
      <c r="N5" s="861"/>
      <c r="O5" s="861"/>
      <c r="P5" s="3440"/>
      <c r="Q5" s="3392"/>
      <c r="R5" s="3370"/>
      <c r="S5" s="3371"/>
      <c r="T5" s="3370"/>
      <c r="U5" s="3371"/>
      <c r="V5" s="3398"/>
      <c r="W5" s="3398"/>
      <c r="X5" s="1264"/>
      <c r="Y5" s="3370"/>
      <c r="Z5" s="3371"/>
      <c r="AA5" s="3364"/>
      <c r="AB5" s="3364"/>
      <c r="AC5" s="3364"/>
    </row>
    <row r="6" spans="1:29" ht="15" thickBot="1">
      <c r="A6" s="350"/>
      <c r="B6" s="351"/>
      <c r="C6" s="3376" t="s">
        <v>1677</v>
      </c>
      <c r="D6" s="3377"/>
      <c r="E6" s="3379" t="s">
        <v>1677</v>
      </c>
      <c r="F6" s="3380"/>
      <c r="G6" s="3376" t="s">
        <v>1677</v>
      </c>
      <c r="H6" s="3377"/>
      <c r="I6" s="3376" t="s">
        <v>1677</v>
      </c>
      <c r="J6" s="3377"/>
      <c r="K6" s="537" t="s">
        <v>1678</v>
      </c>
      <c r="L6" s="860"/>
      <c r="M6" s="861"/>
      <c r="N6" s="861"/>
      <c r="O6" s="861"/>
      <c r="P6" s="3441"/>
      <c r="Q6" s="3394"/>
      <c r="R6" s="3370"/>
      <c r="S6" s="3371"/>
      <c r="T6" s="3395"/>
      <c r="U6" s="3396"/>
      <c r="V6" s="3398"/>
      <c r="W6" s="3398"/>
      <c r="X6" s="1264"/>
      <c r="Y6" s="3395"/>
      <c r="Z6" s="3396"/>
      <c r="AA6" s="3365"/>
      <c r="AB6" s="3365"/>
      <c r="AC6" s="3365"/>
    </row>
    <row r="7" spans="1:29" s="102" customFormat="1" ht="15" thickBot="1">
      <c r="A7" s="352" t="s">
        <v>1679</v>
      </c>
      <c r="B7" s="353"/>
      <c r="C7" s="354">
        <f>'数据-取费表'!B2</f>
        <v>45649</v>
      </c>
      <c r="D7" s="355">
        <v>100</v>
      </c>
      <c r="E7" s="356"/>
      <c r="F7" s="357">
        <f>SUMIF(52:52,YEAR(E7)&amp;"-"&amp;MONTH(E7),53:53)</f>
        <v>0</v>
      </c>
      <c r="G7" s="356"/>
      <c r="H7" s="355">
        <f>SUMIF(52:52,YEAR(G7)&amp;"-"&amp;MONTH(G7),53:53)</f>
        <v>0</v>
      </c>
      <c r="I7" s="356"/>
      <c r="J7" s="355">
        <f>SUMIF(52:52,YEAR(I7)&amp;"-"&amp;MONTH(I7),53:53)</f>
        <v>0</v>
      </c>
      <c r="K7" s="38"/>
      <c r="L7" s="862"/>
      <c r="M7" s="863"/>
      <c r="N7" s="863"/>
      <c r="O7" s="863"/>
      <c r="P7" s="3366" t="s">
        <v>1680</v>
      </c>
      <c r="Q7" s="3400"/>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6" t="s">
        <v>1683</v>
      </c>
      <c r="Q8" s="3367"/>
      <c r="R8" s="664" t="s">
        <v>14</v>
      </c>
      <c r="S8" s="665">
        <f t="shared" si="0"/>
        <v>100</v>
      </c>
      <c r="T8" s="664" t="s">
        <v>14</v>
      </c>
      <c r="U8" s="665">
        <f t="shared" si="1"/>
        <v>100</v>
      </c>
      <c r="V8" s="664" t="s">
        <v>14</v>
      </c>
      <c r="W8" s="665">
        <f t="shared" si="2"/>
        <v>100</v>
      </c>
      <c r="X8" s="666"/>
      <c r="Y8" s="3366" t="s">
        <v>1683</v>
      </c>
      <c r="Z8" s="336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1691</v>
      </c>
      <c r="Q15" s="1262" t="str">
        <f t="shared" si="6"/>
        <v>产业集聚程度</v>
      </c>
      <c r="R15" s="667" t="s">
        <v>14</v>
      </c>
      <c r="S15" s="668">
        <f t="shared" si="0"/>
        <v>100</v>
      </c>
      <c r="T15" s="667" t="s">
        <v>14</v>
      </c>
      <c r="U15" s="668">
        <f t="shared" si="1"/>
        <v>100</v>
      </c>
      <c r="V15" s="667" t="s">
        <v>14</v>
      </c>
      <c r="W15" s="668">
        <f t="shared" si="2"/>
        <v>100</v>
      </c>
      <c r="X15" s="1264"/>
      <c r="Y15" s="340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04"/>
      <c r="Q16" s="1262"/>
      <c r="R16" s="667"/>
      <c r="S16" s="668"/>
      <c r="T16" s="667"/>
      <c r="U16" s="668"/>
      <c r="V16" s="667"/>
      <c r="W16" s="668"/>
      <c r="X16" s="1264"/>
      <c r="Y16" s="3404"/>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2" t="str">
        <f>B17</f>
        <v>交通便捷度</v>
      </c>
      <c r="R17" s="667" t="s">
        <v>14</v>
      </c>
      <c r="S17" s="668">
        <f>F17</f>
        <v>100</v>
      </c>
      <c r="T17" s="667" t="s">
        <v>14</v>
      </c>
      <c r="U17" s="668">
        <f>H17</f>
        <v>100</v>
      </c>
      <c r="V17" s="667" t="s">
        <v>14</v>
      </c>
      <c r="W17" s="668">
        <f>J17</f>
        <v>100</v>
      </c>
      <c r="X17" s="1264"/>
      <c r="Y17" s="340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04"/>
      <c r="Q18" s="1262"/>
      <c r="R18" s="667"/>
      <c r="S18" s="668"/>
      <c r="T18" s="667"/>
      <c r="U18" s="668"/>
      <c r="V18" s="667"/>
      <c r="W18" s="668"/>
      <c r="X18" s="1264"/>
      <c r="Y18" s="3404"/>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2" t="str">
        <f>B19</f>
        <v>公共配套设施</v>
      </c>
      <c r="R19" s="667" t="s">
        <v>14</v>
      </c>
      <c r="S19" s="668">
        <f>F19</f>
        <v>100</v>
      </c>
      <c r="T19" s="667" t="s">
        <v>14</v>
      </c>
      <c r="U19" s="668">
        <f>H19</f>
        <v>100</v>
      </c>
      <c r="V19" s="667" t="s">
        <v>14</v>
      </c>
      <c r="W19" s="668">
        <f>J19</f>
        <v>100</v>
      </c>
      <c r="X19" s="1264"/>
      <c r="Y19" s="340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04"/>
      <c r="Q20" s="1262"/>
      <c r="R20" s="667"/>
      <c r="S20" s="668"/>
      <c r="T20" s="667"/>
      <c r="U20" s="668"/>
      <c r="V20" s="667"/>
      <c r="W20" s="668"/>
      <c r="X20" s="1264"/>
      <c r="Y20" s="3404"/>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2" t="str">
        <f>B21</f>
        <v>基础设施水平</v>
      </c>
      <c r="R21" s="667" t="s">
        <v>14</v>
      </c>
      <c r="S21" s="668">
        <f>F21</f>
        <v>100</v>
      </c>
      <c r="T21" s="667" t="s">
        <v>14</v>
      </c>
      <c r="U21" s="668">
        <f>H21</f>
        <v>100</v>
      </c>
      <c r="V21" s="667" t="s">
        <v>14</v>
      </c>
      <c r="W21" s="668">
        <f>J21</f>
        <v>100</v>
      </c>
      <c r="X21" s="1264"/>
      <c r="Y21" s="340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04"/>
      <c r="Q22" s="1262"/>
      <c r="R22" s="667"/>
      <c r="S22" s="668"/>
      <c r="T22" s="667"/>
      <c r="U22" s="668"/>
      <c r="V22" s="667"/>
      <c r="W22" s="668"/>
      <c r="X22" s="1264"/>
      <c r="Y22" s="3404"/>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2" t="str">
        <f>B23</f>
        <v>环境质量</v>
      </c>
      <c r="R23" s="667" t="s">
        <v>14</v>
      </c>
      <c r="S23" s="668">
        <f>F23</f>
        <v>100</v>
      </c>
      <c r="T23" s="667" t="s">
        <v>14</v>
      </c>
      <c r="U23" s="668">
        <f>H23</f>
        <v>100</v>
      </c>
      <c r="V23" s="667" t="s">
        <v>14</v>
      </c>
      <c r="W23" s="668">
        <f>J23</f>
        <v>100</v>
      </c>
      <c r="X23" s="1264"/>
      <c r="Y23" s="340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04"/>
      <c r="Q24" s="1262"/>
      <c r="R24" s="667"/>
      <c r="S24" s="668"/>
      <c r="T24" s="667"/>
      <c r="U24" s="668"/>
      <c r="V24" s="667"/>
      <c r="W24" s="668"/>
      <c r="X24" s="1264"/>
      <c r="Y24" s="3404"/>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2">
        <f>B25</f>
        <v>111</v>
      </c>
      <c r="R25" s="667" t="s">
        <v>14</v>
      </c>
      <c r="S25" s="668">
        <f>F25</f>
        <v>100</v>
      </c>
      <c r="T25" s="667" t="s">
        <v>14</v>
      </c>
      <c r="U25" s="668">
        <f>H25</f>
        <v>100</v>
      </c>
      <c r="V25" s="667" t="s">
        <v>14</v>
      </c>
      <c r="W25" s="668">
        <f>J25</f>
        <v>100</v>
      </c>
      <c r="X25" s="1264"/>
      <c r="Y25" s="3404"/>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2">
        <f t="shared" ref="Q26:Q40" si="11">B26</f>
        <v>111</v>
      </c>
      <c r="R26" s="667" t="s">
        <v>14</v>
      </c>
      <c r="S26" s="668">
        <f>F26</f>
        <v>100</v>
      </c>
      <c r="T26" s="667" t="s">
        <v>14</v>
      </c>
      <c r="U26" s="668">
        <f>H26</f>
        <v>100</v>
      </c>
      <c r="V26" s="667" t="s">
        <v>14</v>
      </c>
      <c r="W26" s="668">
        <f>J26</f>
        <v>100</v>
      </c>
      <c r="X26" s="1264"/>
      <c r="Y26" s="3404"/>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2">
        <f t="shared" si="11"/>
        <v>111</v>
      </c>
      <c r="R28" s="667" t="s">
        <v>14</v>
      </c>
      <c r="S28" s="668">
        <f t="shared" ref="S28:S40" si="12">F28</f>
        <v>100</v>
      </c>
      <c r="T28" s="667" t="s">
        <v>14</v>
      </c>
      <c r="U28" s="668">
        <f t="shared" ref="U28:U40" si="13">H28</f>
        <v>100</v>
      </c>
      <c r="V28" s="667" t="s">
        <v>14</v>
      </c>
      <c r="W28" s="668">
        <f t="shared" ref="W28:W40" si="14">J28</f>
        <v>100</v>
      </c>
      <c r="X28" s="1264"/>
      <c r="Y28" s="3404"/>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5" t="s">
        <v>1696</v>
      </c>
      <c r="Q29" s="1262" t="str">
        <f t="shared" si="11"/>
        <v>建筑类型</v>
      </c>
      <c r="R29" s="667" t="s">
        <v>14</v>
      </c>
      <c r="S29" s="668">
        <f t="shared" si="12"/>
        <v>100</v>
      </c>
      <c r="T29" s="667" t="s">
        <v>14</v>
      </c>
      <c r="U29" s="668">
        <f t="shared" si="13"/>
        <v>100</v>
      </c>
      <c r="V29" s="667" t="s">
        <v>14</v>
      </c>
      <c r="W29" s="668">
        <f t="shared" si="14"/>
        <v>100</v>
      </c>
      <c r="X29" s="1264"/>
      <c r="Y29" s="340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2" t="str">
        <f t="shared" si="11"/>
        <v>建筑结构</v>
      </c>
      <c r="R31" s="667" t="s">
        <v>14</v>
      </c>
      <c r="S31" s="668">
        <f t="shared" si="12"/>
        <v>100</v>
      </c>
      <c r="T31" s="667" t="s">
        <v>14</v>
      </c>
      <c r="U31" s="668">
        <f t="shared" si="13"/>
        <v>100</v>
      </c>
      <c r="V31" s="667" t="s">
        <v>14</v>
      </c>
      <c r="W31" s="668">
        <f t="shared" si="14"/>
        <v>100</v>
      </c>
      <c r="X31" s="1264"/>
      <c r="Y31" s="340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2" t="str">
        <f t="shared" si="11"/>
        <v>公共部分装修</v>
      </c>
      <c r="R32" s="667" t="s">
        <v>14</v>
      </c>
      <c r="S32" s="668">
        <f t="shared" si="12"/>
        <v>100</v>
      </c>
      <c r="T32" s="667" t="s">
        <v>14</v>
      </c>
      <c r="U32" s="668">
        <f t="shared" si="13"/>
        <v>100</v>
      </c>
      <c r="V32" s="667" t="s">
        <v>14</v>
      </c>
      <c r="W32" s="668">
        <f t="shared" si="14"/>
        <v>100</v>
      </c>
      <c r="X32" s="1264"/>
      <c r="Y32" s="340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2" t="str">
        <f t="shared" si="11"/>
        <v>成新度</v>
      </c>
      <c r="R33" s="667" t="s">
        <v>14</v>
      </c>
      <c r="S33" s="668" t="e">
        <f t="shared" si="12"/>
        <v>#N/A</v>
      </c>
      <c r="T33" s="667" t="s">
        <v>14</v>
      </c>
      <c r="U33" s="668" t="e">
        <f t="shared" si="13"/>
        <v>#N/A</v>
      </c>
      <c r="V33" s="667" t="s">
        <v>14</v>
      </c>
      <c r="W33" s="668" t="e">
        <f t="shared" si="14"/>
        <v>#N/A</v>
      </c>
      <c r="X33" s="1264"/>
      <c r="Y33" s="340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1696</v>
      </c>
      <c r="Q35" s="1262" t="str">
        <f t="shared" si="11"/>
        <v>市政基础设施</v>
      </c>
      <c r="R35" s="667" t="s">
        <v>14</v>
      </c>
      <c r="S35" s="668">
        <f t="shared" si="12"/>
        <v>100</v>
      </c>
      <c r="T35" s="667" t="s">
        <v>14</v>
      </c>
      <c r="U35" s="668">
        <f t="shared" si="13"/>
        <v>100</v>
      </c>
      <c r="V35" s="667" t="s">
        <v>14</v>
      </c>
      <c r="W35" s="668">
        <f t="shared" si="14"/>
        <v>100</v>
      </c>
      <c r="X35" s="1264"/>
      <c r="Y35" s="340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2" t="str">
        <f t="shared" si="11"/>
        <v>内部装修</v>
      </c>
      <c r="R36" s="667" t="s">
        <v>14</v>
      </c>
      <c r="S36" s="668">
        <f t="shared" si="12"/>
        <v>100</v>
      </c>
      <c r="T36" s="667" t="s">
        <v>14</v>
      </c>
      <c r="U36" s="668">
        <f t="shared" si="13"/>
        <v>100</v>
      </c>
      <c r="V36" s="667" t="s">
        <v>14</v>
      </c>
      <c r="W36" s="668">
        <f t="shared" si="14"/>
        <v>100</v>
      </c>
      <c r="X36" s="1264"/>
      <c r="Y36" s="340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2" t="str">
        <f t="shared" si="11"/>
        <v>内部装修状况</v>
      </c>
      <c r="R37" s="667" t="s">
        <v>14</v>
      </c>
      <c r="S37" s="668">
        <f t="shared" si="12"/>
        <v>100</v>
      </c>
      <c r="T37" s="667" t="s">
        <v>14</v>
      </c>
      <c r="U37" s="668">
        <f t="shared" si="13"/>
        <v>100</v>
      </c>
      <c r="V37" s="667" t="s">
        <v>14</v>
      </c>
      <c r="W37" s="668">
        <f t="shared" si="14"/>
        <v>100</v>
      </c>
      <c r="X37" s="1264"/>
      <c r="Y37" s="3408"/>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2">
        <f t="shared" si="11"/>
        <v>111</v>
      </c>
      <c r="R39" s="667" t="s">
        <v>14</v>
      </c>
      <c r="S39" s="668">
        <f t="shared" si="12"/>
        <v>100</v>
      </c>
      <c r="T39" s="667" t="s">
        <v>14</v>
      </c>
      <c r="U39" s="668">
        <f t="shared" si="13"/>
        <v>100</v>
      </c>
      <c r="V39" s="667" t="s">
        <v>14</v>
      </c>
      <c r="W39" s="668">
        <f t="shared" si="14"/>
        <v>100</v>
      </c>
      <c r="X39" s="1264"/>
      <c r="Y39" s="3408"/>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2">
        <f t="shared" si="11"/>
        <v>111</v>
      </c>
      <c r="R40" s="667" t="s">
        <v>14</v>
      </c>
      <c r="S40" s="668">
        <f t="shared" si="12"/>
        <v>100</v>
      </c>
      <c r="T40" s="667" t="s">
        <v>14</v>
      </c>
      <c r="U40" s="668">
        <f t="shared" si="13"/>
        <v>100</v>
      </c>
      <c r="V40" s="667" t="s">
        <v>14</v>
      </c>
      <c r="W40" s="668">
        <f t="shared" si="14"/>
        <v>100</v>
      </c>
      <c r="X40" s="1264"/>
      <c r="Y40" s="3409"/>
      <c r="Z40" s="1263">
        <f t="shared" si="15"/>
        <v>111</v>
      </c>
      <c r="AA40" s="1263">
        <f t="shared" si="3"/>
        <v>1</v>
      </c>
      <c r="AB40" s="1263">
        <f t="shared" si="4"/>
        <v>1</v>
      </c>
      <c r="AC40" s="1263">
        <f t="shared" si="5"/>
        <v>1</v>
      </c>
    </row>
    <row r="41" spans="1:29" ht="14.4">
      <c r="A41" s="416" t="s">
        <v>1708</v>
      </c>
      <c r="B41" s="417"/>
      <c r="C41" s="1081" t="s">
        <v>0</v>
      </c>
      <c r="D41" s="418"/>
      <c r="E41" s="419"/>
      <c r="F41" s="420"/>
      <c r="G41" s="421"/>
      <c r="H41" s="422"/>
      <c r="I41" s="419"/>
      <c r="J41" s="422"/>
      <c r="K41" s="674"/>
      <c r="L41" s="873"/>
      <c r="M41" s="861"/>
      <c r="N41" s="861"/>
      <c r="O41" s="861"/>
      <c r="P41" s="3410" t="str">
        <f>A41</f>
        <v>成交单价（元/平方米）</v>
      </c>
      <c r="Q41" s="3410"/>
      <c r="R41" s="3398">
        <f>E41</f>
        <v>0</v>
      </c>
      <c r="S41" s="3398"/>
      <c r="T41" s="3398">
        <f>G41</f>
        <v>0</v>
      </c>
      <c r="U41" s="3398"/>
      <c r="V41" s="3398">
        <f>I41</f>
        <v>0</v>
      </c>
      <c r="W41" s="3398"/>
      <c r="X41" s="385"/>
      <c r="Y41" s="673"/>
      <c r="Z41" s="385"/>
      <c r="AA41" s="385"/>
      <c r="AB41" s="385"/>
      <c r="AC41" s="385"/>
    </row>
    <row r="42" spans="1:29" ht="15" thickBot="1">
      <c r="A42" s="423" t="s">
        <v>1793</v>
      </c>
      <c r="B42" s="424"/>
      <c r="C42" s="1082" t="e">
        <f>R43</f>
        <v>#DIV/0!</v>
      </c>
      <c r="D42" s="2140" t="s">
        <v>2135</v>
      </c>
      <c r="E42" s="1083" t="e">
        <f>R42</f>
        <v>#DIV/0!</v>
      </c>
      <c r="F42" s="2141"/>
      <c r="G42" s="1082" t="e">
        <f>T42</f>
        <v>#DIV/0!</v>
      </c>
      <c r="H42" s="2141"/>
      <c r="I42" s="1083" t="e">
        <f>V42</f>
        <v>#DIV/0!</v>
      </c>
      <c r="J42" s="2141"/>
      <c r="K42" s="2143">
        <f>F42+H42+J42</f>
        <v>0</v>
      </c>
      <c r="L42" s="873"/>
      <c r="M42" s="861"/>
      <c r="N42" s="861"/>
      <c r="O42" s="861"/>
      <c r="P42" s="3410" t="str">
        <f>A42</f>
        <v>比较价值（元/平方米）</v>
      </c>
      <c r="Q42" s="3410"/>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438" t="s">
        <v>1775</v>
      </c>
      <c r="Q4" s="3439"/>
      <c r="R4" s="3436" t="s">
        <v>1771</v>
      </c>
      <c r="S4" s="3437"/>
      <c r="T4" s="3436" t="s">
        <v>1772</v>
      </c>
      <c r="U4" s="3437"/>
      <c r="V4" s="3398" t="s">
        <v>1773</v>
      </c>
      <c r="W4" s="3398"/>
      <c r="X4" s="1264"/>
      <c r="Y4" s="3436" t="s">
        <v>1775</v>
      </c>
      <c r="Z4" s="3437"/>
      <c r="AA4" s="3435" t="s">
        <v>1771</v>
      </c>
      <c r="AB4" s="3364" t="s">
        <v>1772</v>
      </c>
      <c r="AC4" s="3435" t="s">
        <v>1773</v>
      </c>
    </row>
    <row r="5" spans="1:29">
      <c r="A5" s="348"/>
      <c r="B5" s="349"/>
      <c r="C5" s="3378" t="s">
        <v>1673</v>
      </c>
      <c r="D5" s="3375"/>
      <c r="E5" s="3372" t="s">
        <v>1674</v>
      </c>
      <c r="F5" s="3373"/>
      <c r="G5" s="3378" t="s">
        <v>1675</v>
      </c>
      <c r="H5" s="3375"/>
      <c r="I5" s="3378" t="s">
        <v>1676</v>
      </c>
      <c r="J5" s="3375"/>
      <c r="K5" s="537"/>
      <c r="L5" s="2484"/>
      <c r="M5" s="2485"/>
      <c r="N5" s="2485"/>
      <c r="O5" s="2485"/>
      <c r="P5" s="3440"/>
      <c r="Q5" s="3392"/>
      <c r="R5" s="3370"/>
      <c r="S5" s="3371"/>
      <c r="T5" s="3370"/>
      <c r="U5" s="3371"/>
      <c r="V5" s="3398"/>
      <c r="W5" s="3398"/>
      <c r="X5" s="1264"/>
      <c r="Y5" s="3370"/>
      <c r="Z5" s="3371"/>
      <c r="AA5" s="3364"/>
      <c r="AB5" s="3364"/>
      <c r="AC5" s="3364"/>
    </row>
    <row r="6" spans="1:29" ht="15" thickBot="1">
      <c r="A6" s="350"/>
      <c r="B6" s="351"/>
      <c r="C6" s="3376" t="s">
        <v>1677</v>
      </c>
      <c r="D6" s="3377"/>
      <c r="E6" s="3379" t="s">
        <v>1677</v>
      </c>
      <c r="F6" s="3380"/>
      <c r="G6" s="3376" t="s">
        <v>1677</v>
      </c>
      <c r="H6" s="3377"/>
      <c r="I6" s="3376" t="s">
        <v>1677</v>
      </c>
      <c r="J6" s="3377"/>
      <c r="K6" s="537" t="s">
        <v>1678</v>
      </c>
      <c r="L6" s="2484"/>
      <c r="M6" s="2485"/>
      <c r="N6" s="2485"/>
      <c r="O6" s="2485"/>
      <c r="P6" s="3441"/>
      <c r="Q6" s="3394"/>
      <c r="R6" s="3370"/>
      <c r="S6" s="3371"/>
      <c r="T6" s="3395"/>
      <c r="U6" s="3396"/>
      <c r="V6" s="3398"/>
      <c r="W6" s="3398"/>
      <c r="X6" s="1264"/>
      <c r="Y6" s="3395"/>
      <c r="Z6" s="3396"/>
      <c r="AA6" s="3365"/>
      <c r="AB6" s="3365"/>
      <c r="AC6" s="3365"/>
    </row>
    <row r="7" spans="1:29" s="102" customFormat="1" ht="15" thickBot="1">
      <c r="A7" s="352" t="s">
        <v>1679</v>
      </c>
      <c r="B7" s="353"/>
      <c r="C7" s="354">
        <f>'数据-取费表'!B2</f>
        <v>45649</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6" t="s">
        <v>1680</v>
      </c>
      <c r="Q7" s="3400"/>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6" t="s">
        <v>1683</v>
      </c>
      <c r="Q8" s="3367"/>
      <c r="R8" s="664" t="s">
        <v>14</v>
      </c>
      <c r="S8" s="665">
        <f t="shared" si="0"/>
        <v>100</v>
      </c>
      <c r="T8" s="664" t="s">
        <v>14</v>
      </c>
      <c r="U8" s="665">
        <f t="shared" si="1"/>
        <v>100</v>
      </c>
      <c r="V8" s="664" t="s">
        <v>14</v>
      </c>
      <c r="W8" s="665">
        <f t="shared" si="2"/>
        <v>100</v>
      </c>
      <c r="X8" s="666"/>
      <c r="Y8" s="3366" t="s">
        <v>1683</v>
      </c>
      <c r="Z8" s="336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0"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0"/>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0"/>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0"/>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3" t="s">
        <v>1691</v>
      </c>
      <c r="Q14" s="1262" t="str">
        <f t="shared" si="6"/>
        <v>交通便捷度</v>
      </c>
      <c r="R14" s="667" t="s">
        <v>14</v>
      </c>
      <c r="S14" s="668">
        <f t="shared" si="0"/>
        <v>100</v>
      </c>
      <c r="T14" s="667" t="s">
        <v>14</v>
      </c>
      <c r="U14" s="668">
        <f t="shared" si="1"/>
        <v>100</v>
      </c>
      <c r="V14" s="667" t="s">
        <v>14</v>
      </c>
      <c r="W14" s="668">
        <f t="shared" si="2"/>
        <v>100</v>
      </c>
      <c r="X14" s="1264"/>
      <c r="Y14" s="340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04"/>
      <c r="Q15" s="1262"/>
      <c r="R15" s="667"/>
      <c r="S15" s="668"/>
      <c r="T15" s="667"/>
      <c r="U15" s="668"/>
      <c r="V15" s="667"/>
      <c r="W15" s="668"/>
      <c r="X15" s="1264"/>
      <c r="Y15" s="3404"/>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4"/>
      <c r="Q16" s="1262" t="str">
        <f>B16</f>
        <v>公共配套设施</v>
      </c>
      <c r="R16" s="667" t="s">
        <v>14</v>
      </c>
      <c r="S16" s="668">
        <f>F16</f>
        <v>100</v>
      </c>
      <c r="T16" s="667" t="s">
        <v>14</v>
      </c>
      <c r="U16" s="668">
        <f>H16</f>
        <v>100</v>
      </c>
      <c r="V16" s="667" t="s">
        <v>14</v>
      </c>
      <c r="W16" s="668">
        <f>J16</f>
        <v>100</v>
      </c>
      <c r="X16" s="1264"/>
      <c r="Y16" s="340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04"/>
      <c r="Q17" s="1262"/>
      <c r="R17" s="667"/>
      <c r="S17" s="668"/>
      <c r="T17" s="667"/>
      <c r="U17" s="668"/>
      <c r="V17" s="667"/>
      <c r="W17" s="668"/>
      <c r="X17" s="1264"/>
      <c r="Y17" s="3404"/>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4"/>
      <c r="Q18" s="1262" t="str">
        <f>B18</f>
        <v>基础设施水平</v>
      </c>
      <c r="R18" s="667" t="s">
        <v>14</v>
      </c>
      <c r="S18" s="668">
        <f>F18</f>
        <v>100</v>
      </c>
      <c r="T18" s="667" t="s">
        <v>14</v>
      </c>
      <c r="U18" s="668">
        <f>H18</f>
        <v>100</v>
      </c>
      <c r="V18" s="667" t="s">
        <v>14</v>
      </c>
      <c r="W18" s="668">
        <f>J18</f>
        <v>100</v>
      </c>
      <c r="X18" s="1264"/>
      <c r="Y18" s="340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404"/>
      <c r="Q19" s="1262"/>
      <c r="R19" s="667"/>
      <c r="S19" s="668"/>
      <c r="T19" s="667"/>
      <c r="U19" s="668"/>
      <c r="V19" s="667"/>
      <c r="W19" s="668"/>
      <c r="X19" s="1264"/>
      <c r="Y19" s="3404"/>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4"/>
      <c r="Q20" s="1262" t="str">
        <f>B20</f>
        <v>自然及人文环境</v>
      </c>
      <c r="R20" s="667" t="s">
        <v>14</v>
      </c>
      <c r="S20" s="668">
        <f>F20</f>
        <v>100</v>
      </c>
      <c r="T20" s="667" t="s">
        <v>14</v>
      </c>
      <c r="U20" s="668">
        <f>H20</f>
        <v>100</v>
      </c>
      <c r="V20" s="667" t="s">
        <v>14</v>
      </c>
      <c r="W20" s="668">
        <f>J20</f>
        <v>100</v>
      </c>
      <c r="X20" s="1264"/>
      <c r="Y20" s="340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04"/>
      <c r="Q21" s="1262"/>
      <c r="R21" s="667"/>
      <c r="S21" s="668"/>
      <c r="T21" s="667"/>
      <c r="U21" s="668"/>
      <c r="V21" s="667"/>
      <c r="W21" s="668"/>
      <c r="X21" s="1264"/>
      <c r="Y21" s="340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4"/>
      <c r="Q22" s="1262" t="str">
        <f>B22</f>
        <v>楼层</v>
      </c>
      <c r="R22" s="667" t="s">
        <v>14</v>
      </c>
      <c r="S22" s="668">
        <f>F22</f>
        <v>100</v>
      </c>
      <c r="T22" s="667" t="s">
        <v>14</v>
      </c>
      <c r="U22" s="668">
        <f>H22</f>
        <v>100</v>
      </c>
      <c r="V22" s="667" t="s">
        <v>14</v>
      </c>
      <c r="W22" s="668">
        <f>J22</f>
        <v>100</v>
      </c>
      <c r="X22" s="1264"/>
      <c r="Y22" s="340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4"/>
      <c r="Q23" s="1262">
        <f>B23</f>
        <v>111</v>
      </c>
      <c r="R23" s="667" t="s">
        <v>14</v>
      </c>
      <c r="S23" s="668">
        <f>F23</f>
        <v>100</v>
      </c>
      <c r="T23" s="667" t="s">
        <v>14</v>
      </c>
      <c r="U23" s="668">
        <f>H23</f>
        <v>100</v>
      </c>
      <c r="V23" s="667" t="s">
        <v>14</v>
      </c>
      <c r="W23" s="668">
        <f>J23</f>
        <v>100</v>
      </c>
      <c r="X23" s="1264"/>
      <c r="Y23" s="340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4"/>
      <c r="Q24" s="1262">
        <f t="shared" ref="Q24:Q36" si="11">B24</f>
        <v>111</v>
      </c>
      <c r="R24" s="667" t="s">
        <v>14</v>
      </c>
      <c r="S24" s="668">
        <f>F24</f>
        <v>100</v>
      </c>
      <c r="T24" s="667" t="s">
        <v>14</v>
      </c>
      <c r="U24" s="668">
        <f>H24</f>
        <v>100</v>
      </c>
      <c r="V24" s="667" t="s">
        <v>14</v>
      </c>
      <c r="W24" s="668">
        <f>J24</f>
        <v>100</v>
      </c>
      <c r="X24" s="1264"/>
      <c r="Y24" s="3404"/>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4"/>
      <c r="Q25" s="530">
        <f t="shared" si="11"/>
        <v>111</v>
      </c>
      <c r="R25" s="664" t="s">
        <v>14</v>
      </c>
      <c r="S25" s="665">
        <f>F25</f>
        <v>100</v>
      </c>
      <c r="T25" s="664" t="s">
        <v>14</v>
      </c>
      <c r="U25" s="665">
        <f>H25</f>
        <v>100</v>
      </c>
      <c r="V25" s="664" t="s">
        <v>14</v>
      </c>
      <c r="W25" s="665">
        <f>J25</f>
        <v>100</v>
      </c>
      <c r="X25" s="666"/>
      <c r="Y25" s="3404"/>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5"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0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8"/>
      <c r="Q28" s="1262" t="str">
        <f t="shared" si="11"/>
        <v>公共部分装修</v>
      </c>
      <c r="R28" s="667" t="s">
        <v>14</v>
      </c>
      <c r="S28" s="668">
        <f t="shared" si="12"/>
        <v>100</v>
      </c>
      <c r="T28" s="667" t="s">
        <v>14</v>
      </c>
      <c r="U28" s="668">
        <f t="shared" si="13"/>
        <v>100</v>
      </c>
      <c r="V28" s="667" t="s">
        <v>14</v>
      </c>
      <c r="W28" s="668">
        <f t="shared" si="14"/>
        <v>100</v>
      </c>
      <c r="X28" s="1264"/>
      <c r="Y28" s="340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8"/>
      <c r="Q29" s="1262" t="str">
        <f t="shared" si="11"/>
        <v>成新率</v>
      </c>
      <c r="R29" s="667" t="s">
        <v>14</v>
      </c>
      <c r="S29" s="668" t="e">
        <f t="shared" si="12"/>
        <v>#N/A</v>
      </c>
      <c r="T29" s="667" t="s">
        <v>14</v>
      </c>
      <c r="U29" s="668" t="e">
        <f t="shared" si="13"/>
        <v>#N/A</v>
      </c>
      <c r="V29" s="667" t="s">
        <v>14</v>
      </c>
      <c r="W29" s="668" t="e">
        <f t="shared" si="14"/>
        <v>#N/A</v>
      </c>
      <c r="X29" s="1264"/>
      <c r="Y29" s="340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8"/>
      <c r="Q30" s="1262" t="str">
        <f t="shared" si="11"/>
        <v>物业等级</v>
      </c>
      <c r="R30" s="667" t="s">
        <v>14</v>
      </c>
      <c r="S30" s="668">
        <f t="shared" si="12"/>
        <v>100</v>
      </c>
      <c r="T30" s="667" t="s">
        <v>14</v>
      </c>
      <c r="U30" s="668">
        <f t="shared" si="13"/>
        <v>100</v>
      </c>
      <c r="V30" s="667" t="s">
        <v>14</v>
      </c>
      <c r="W30" s="668">
        <f t="shared" si="14"/>
        <v>100</v>
      </c>
      <c r="X30" s="1264"/>
      <c r="Y30" s="340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8" t="s">
        <v>1696</v>
      </c>
      <c r="Q32" s="1262" t="str">
        <f t="shared" si="11"/>
        <v>车位类型</v>
      </c>
      <c r="R32" s="667" t="s">
        <v>14</v>
      </c>
      <c r="S32" s="668">
        <f t="shared" si="12"/>
        <v>100</v>
      </c>
      <c r="T32" s="667" t="s">
        <v>14</v>
      </c>
      <c r="U32" s="668">
        <f t="shared" si="13"/>
        <v>100</v>
      </c>
      <c r="V32" s="667" t="s">
        <v>14</v>
      </c>
      <c r="W32" s="668">
        <f t="shared" si="14"/>
        <v>100</v>
      </c>
      <c r="X32" s="1264"/>
      <c r="Y32" s="340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8"/>
      <c r="Q33" s="1262" t="str">
        <f t="shared" si="11"/>
        <v>是否直接入户</v>
      </c>
      <c r="R33" s="667" t="s">
        <v>14</v>
      </c>
      <c r="S33" s="668">
        <f t="shared" si="12"/>
        <v>100</v>
      </c>
      <c r="T33" s="667" t="s">
        <v>14</v>
      </c>
      <c r="U33" s="668">
        <f t="shared" si="13"/>
        <v>100</v>
      </c>
      <c r="V33" s="667" t="s">
        <v>14</v>
      </c>
      <c r="W33" s="668">
        <f t="shared" si="14"/>
        <v>100</v>
      </c>
      <c r="X33" s="1264"/>
      <c r="Y33" s="340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8"/>
      <c r="Q34" s="1262">
        <f t="shared" si="11"/>
        <v>111</v>
      </c>
      <c r="R34" s="667" t="s">
        <v>14</v>
      </c>
      <c r="S34" s="668">
        <f t="shared" si="12"/>
        <v>100</v>
      </c>
      <c r="T34" s="667" t="s">
        <v>14</v>
      </c>
      <c r="U34" s="668">
        <f t="shared" si="13"/>
        <v>100</v>
      </c>
      <c r="V34" s="667" t="s">
        <v>14</v>
      </c>
      <c r="W34" s="668">
        <f t="shared" si="14"/>
        <v>100</v>
      </c>
      <c r="X34" s="1264"/>
      <c r="Y34" s="340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8"/>
      <c r="Q36" s="1262">
        <f t="shared" si="11"/>
        <v>111</v>
      </c>
      <c r="R36" s="667" t="s">
        <v>14</v>
      </c>
      <c r="S36" s="668">
        <f t="shared" si="12"/>
        <v>100</v>
      </c>
      <c r="T36" s="667" t="s">
        <v>14</v>
      </c>
      <c r="U36" s="668">
        <f t="shared" si="13"/>
        <v>100</v>
      </c>
      <c r="V36" s="667" t="s">
        <v>14</v>
      </c>
      <c r="W36" s="668">
        <f t="shared" si="14"/>
        <v>100</v>
      </c>
      <c r="X36" s="1264"/>
      <c r="Y36" s="3408"/>
      <c r="Z36" s="1263">
        <f t="shared" si="15"/>
        <v>111</v>
      </c>
      <c r="AA36" s="1263">
        <f t="shared" si="3"/>
        <v>1</v>
      </c>
      <c r="AB36" s="1263">
        <f t="shared" si="4"/>
        <v>1</v>
      </c>
      <c r="AC36" s="1263">
        <f t="shared" si="5"/>
        <v>1</v>
      </c>
    </row>
    <row r="37" spans="1:29" ht="14.4">
      <c r="A37" s="416" t="s">
        <v>1844</v>
      </c>
      <c r="B37" s="1820" t="s">
        <v>3353</v>
      </c>
      <c r="C37" s="1081" t="s">
        <v>0</v>
      </c>
      <c r="D37" s="418"/>
      <c r="E37" s="419"/>
      <c r="F37" s="420"/>
      <c r="G37" s="421"/>
      <c r="H37" s="422"/>
      <c r="I37" s="419"/>
      <c r="J37" s="422"/>
      <c r="K37" s="545"/>
      <c r="L37" s="2492"/>
      <c r="M37" s="2485"/>
      <c r="N37" s="2485"/>
      <c r="O37" s="2485"/>
      <c r="P37" s="3410" t="str">
        <f>A37</f>
        <v>成交单价</v>
      </c>
      <c r="Q37" s="3410"/>
      <c r="R37" s="3398">
        <f>E37</f>
        <v>0</v>
      </c>
      <c r="S37" s="3398"/>
      <c r="T37" s="3398">
        <f>G37</f>
        <v>0</v>
      </c>
      <c r="U37" s="3398"/>
      <c r="V37" s="3398">
        <f>I37</f>
        <v>0</v>
      </c>
      <c r="W37" s="3398"/>
      <c r="X37" s="385"/>
      <c r="Y37" s="673"/>
      <c r="Z37" s="385"/>
      <c r="AA37" s="385"/>
      <c r="AB37" s="385"/>
      <c r="AC37" s="385"/>
    </row>
    <row r="38" spans="1:29" ht="15" thickBot="1">
      <c r="A38" s="423" t="s">
        <v>1845</v>
      </c>
      <c r="B38" s="424" t="str">
        <f>B37</f>
        <v>元/平方米</v>
      </c>
      <c r="C38" s="1082" t="e">
        <f>R39</f>
        <v>#DIV/0!</v>
      </c>
      <c r="D38" s="2140" t="s">
        <v>2135</v>
      </c>
      <c r="E38" s="1083" t="e">
        <f>R38</f>
        <v>#DIV/0!</v>
      </c>
      <c r="F38" s="2141"/>
      <c r="G38" s="1082" t="e">
        <f>T38</f>
        <v>#DIV/0!</v>
      </c>
      <c r="H38" s="2141"/>
      <c r="I38" s="1083" t="e">
        <f>V38</f>
        <v>#DIV/0!</v>
      </c>
      <c r="J38" s="2141"/>
      <c r="K38" s="2143">
        <f>F38+H38+J38</f>
        <v>0</v>
      </c>
      <c r="L38" s="2492"/>
      <c r="M38" s="2485"/>
      <c r="N38" s="2485"/>
      <c r="O38" s="2485"/>
      <c r="P38" s="3410" t="str">
        <f>A38</f>
        <v>比较价值（元/平方米）</v>
      </c>
      <c r="Q38" s="3410"/>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42" t="str">
        <f>A39</f>
        <v>估价对象XX用房的比较价值（楼面单价，元/平方米）</v>
      </c>
      <c r="Q39" s="3443"/>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438" t="s">
        <v>1775</v>
      </c>
      <c r="Q4" s="3439"/>
      <c r="R4" s="3436" t="s">
        <v>1771</v>
      </c>
      <c r="S4" s="3437"/>
      <c r="T4" s="3436" t="s">
        <v>1772</v>
      </c>
      <c r="U4" s="3437"/>
      <c r="V4" s="3398" t="s">
        <v>1773</v>
      </c>
      <c r="W4" s="3398"/>
      <c r="X4" s="1264"/>
      <c r="Y4" s="3436" t="s">
        <v>1775</v>
      </c>
      <c r="Z4" s="3437"/>
      <c r="AA4" s="3435" t="s">
        <v>1771</v>
      </c>
      <c r="AB4" s="3364" t="s">
        <v>1772</v>
      </c>
      <c r="AC4" s="3435" t="s">
        <v>1773</v>
      </c>
    </row>
    <row r="5" spans="1:29">
      <c r="A5" s="348"/>
      <c r="B5" s="349"/>
      <c r="C5" s="3378" t="s">
        <v>1673</v>
      </c>
      <c r="D5" s="3375"/>
      <c r="E5" s="3372" t="s">
        <v>1674</v>
      </c>
      <c r="F5" s="3373"/>
      <c r="G5" s="3378" t="s">
        <v>1675</v>
      </c>
      <c r="H5" s="3375"/>
      <c r="I5" s="3378" t="s">
        <v>1676</v>
      </c>
      <c r="J5" s="3375"/>
      <c r="K5" s="537"/>
      <c r="L5" s="2484"/>
      <c r="M5" s="2485"/>
      <c r="N5" s="2485"/>
      <c r="O5" s="2485"/>
      <c r="P5" s="3440"/>
      <c r="Q5" s="3392"/>
      <c r="R5" s="3370"/>
      <c r="S5" s="3371"/>
      <c r="T5" s="3370"/>
      <c r="U5" s="3371"/>
      <c r="V5" s="3398"/>
      <c r="W5" s="3398"/>
      <c r="X5" s="1264"/>
      <c r="Y5" s="3370"/>
      <c r="Z5" s="3371"/>
      <c r="AA5" s="3364"/>
      <c r="AB5" s="3364"/>
      <c r="AC5" s="3364"/>
    </row>
    <row r="6" spans="1:29" ht="15" thickBot="1">
      <c r="A6" s="350"/>
      <c r="B6" s="351"/>
      <c r="C6" s="3376" t="s">
        <v>1677</v>
      </c>
      <c r="D6" s="3377"/>
      <c r="E6" s="3379" t="s">
        <v>1677</v>
      </c>
      <c r="F6" s="3380"/>
      <c r="G6" s="3376" t="s">
        <v>1677</v>
      </c>
      <c r="H6" s="3377"/>
      <c r="I6" s="3376" t="s">
        <v>1677</v>
      </c>
      <c r="J6" s="3377"/>
      <c r="K6" s="537" t="s">
        <v>1678</v>
      </c>
      <c r="L6" s="2484"/>
      <c r="M6" s="2485"/>
      <c r="N6" s="2485"/>
      <c r="O6" s="2485"/>
      <c r="P6" s="3441"/>
      <c r="Q6" s="3394"/>
      <c r="R6" s="3370"/>
      <c r="S6" s="3371"/>
      <c r="T6" s="3395"/>
      <c r="U6" s="3396"/>
      <c r="V6" s="3398"/>
      <c r="W6" s="3398"/>
      <c r="X6" s="1264"/>
      <c r="Y6" s="3395"/>
      <c r="Z6" s="3396"/>
      <c r="AA6" s="3365"/>
      <c r="AB6" s="3365"/>
      <c r="AC6" s="3365"/>
    </row>
    <row r="7" spans="1:29" s="102" customFormat="1" ht="15" thickBot="1">
      <c r="A7" s="352" t="s">
        <v>1679</v>
      </c>
      <c r="B7" s="353"/>
      <c r="C7" s="354">
        <f>'数据-取费表'!B2</f>
        <v>45649</v>
      </c>
      <c r="D7" s="355">
        <v>100</v>
      </c>
      <c r="E7" s="356"/>
      <c r="F7" s="357">
        <f>SUMIF(46:46,YEAR(E7)&amp;"-"&amp;MONTH(E7),47:47)</f>
        <v>0</v>
      </c>
      <c r="G7" s="1821"/>
      <c r="H7" s="355">
        <f>SUMIF(46:46,YEAR(G7)&amp;"-"&amp;MONTH(G7),47:47)</f>
        <v>0</v>
      </c>
      <c r="I7" s="356"/>
      <c r="J7" s="355">
        <f>SUMIF(46:46,YEAR(I7)&amp;"-"&amp;MONTH(I7),47:47)</f>
        <v>0</v>
      </c>
      <c r="K7" s="38"/>
      <c r="L7" s="2486"/>
      <c r="M7" s="2438"/>
      <c r="N7" s="2438"/>
      <c r="O7" s="2438"/>
      <c r="P7" s="3366" t="s">
        <v>1680</v>
      </c>
      <c r="Q7" s="3400"/>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6" t="s">
        <v>1683</v>
      </c>
      <c r="Q8" s="3367"/>
      <c r="R8" s="664" t="s">
        <v>14</v>
      </c>
      <c r="S8" s="665">
        <f t="shared" si="0"/>
        <v>100</v>
      </c>
      <c r="T8" s="664" t="s">
        <v>14</v>
      </c>
      <c r="U8" s="665">
        <f t="shared" si="1"/>
        <v>100</v>
      </c>
      <c r="V8" s="664" t="s">
        <v>14</v>
      </c>
      <c r="W8" s="665">
        <f t="shared" si="2"/>
        <v>100</v>
      </c>
      <c r="X8" s="666"/>
      <c r="Y8" s="3366" t="s">
        <v>1683</v>
      </c>
      <c r="Z8" s="336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0"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0"/>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0"/>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0"/>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3" t="s">
        <v>1691</v>
      </c>
      <c r="Q14" s="1262" t="str">
        <f t="shared" si="6"/>
        <v>交通便捷度</v>
      </c>
      <c r="R14" s="667" t="s">
        <v>14</v>
      </c>
      <c r="S14" s="668">
        <f t="shared" si="0"/>
        <v>100</v>
      </c>
      <c r="T14" s="667" t="s">
        <v>14</v>
      </c>
      <c r="U14" s="668">
        <f t="shared" si="1"/>
        <v>100</v>
      </c>
      <c r="V14" s="667" t="s">
        <v>14</v>
      </c>
      <c r="W14" s="668">
        <f t="shared" si="2"/>
        <v>100</v>
      </c>
      <c r="X14" s="1264"/>
      <c r="Y14" s="340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04"/>
      <c r="Q15" s="1262"/>
      <c r="R15" s="667"/>
      <c r="S15" s="668"/>
      <c r="T15" s="667"/>
      <c r="U15" s="668"/>
      <c r="V15" s="667"/>
      <c r="W15" s="668"/>
      <c r="X15" s="1264"/>
      <c r="Y15" s="3404"/>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4"/>
      <c r="Q16" s="1262" t="str">
        <f>B16</f>
        <v>公共配套设施</v>
      </c>
      <c r="R16" s="667" t="s">
        <v>14</v>
      </c>
      <c r="S16" s="668">
        <f>F16</f>
        <v>100</v>
      </c>
      <c r="T16" s="667" t="s">
        <v>14</v>
      </c>
      <c r="U16" s="668">
        <f>H16</f>
        <v>100</v>
      </c>
      <c r="V16" s="667" t="s">
        <v>14</v>
      </c>
      <c r="W16" s="668">
        <f>J16</f>
        <v>100</v>
      </c>
      <c r="X16" s="1264"/>
      <c r="Y16" s="340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04"/>
      <c r="Q17" s="1262"/>
      <c r="R17" s="667"/>
      <c r="S17" s="668"/>
      <c r="T17" s="667"/>
      <c r="U17" s="668"/>
      <c r="V17" s="667"/>
      <c r="W17" s="668"/>
      <c r="X17" s="1264"/>
      <c r="Y17" s="3404"/>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4"/>
      <c r="Q18" s="1262" t="str">
        <f>B18</f>
        <v>基础设施水平</v>
      </c>
      <c r="R18" s="667" t="s">
        <v>14</v>
      </c>
      <c r="S18" s="668">
        <f>F18</f>
        <v>100</v>
      </c>
      <c r="T18" s="667" t="s">
        <v>14</v>
      </c>
      <c r="U18" s="668">
        <f>H18</f>
        <v>100</v>
      </c>
      <c r="V18" s="667" t="s">
        <v>14</v>
      </c>
      <c r="W18" s="668">
        <f>J18</f>
        <v>100</v>
      </c>
      <c r="X18" s="1264"/>
      <c r="Y18" s="340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404"/>
      <c r="Q19" s="1262"/>
      <c r="R19" s="667"/>
      <c r="S19" s="668"/>
      <c r="T19" s="667"/>
      <c r="U19" s="668"/>
      <c r="V19" s="667"/>
      <c r="W19" s="668"/>
      <c r="X19" s="1264"/>
      <c r="Y19" s="3404"/>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4"/>
      <c r="Q20" s="1262" t="str">
        <f>B20</f>
        <v>自然及人文环境</v>
      </c>
      <c r="R20" s="667" t="s">
        <v>14</v>
      </c>
      <c r="S20" s="668">
        <f>F20</f>
        <v>100</v>
      </c>
      <c r="T20" s="667" t="s">
        <v>14</v>
      </c>
      <c r="U20" s="668">
        <f>H20</f>
        <v>100</v>
      </c>
      <c r="V20" s="667" t="s">
        <v>14</v>
      </c>
      <c r="W20" s="668">
        <f>J20</f>
        <v>100</v>
      </c>
      <c r="X20" s="1264"/>
      <c r="Y20" s="340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04"/>
      <c r="Q21" s="1262"/>
      <c r="R21" s="667"/>
      <c r="S21" s="668"/>
      <c r="T21" s="667"/>
      <c r="U21" s="668"/>
      <c r="V21" s="667"/>
      <c r="W21" s="668"/>
      <c r="X21" s="1264"/>
      <c r="Y21" s="340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4"/>
      <c r="Q22" s="1262" t="str">
        <f>B22</f>
        <v>楼层</v>
      </c>
      <c r="R22" s="667" t="s">
        <v>14</v>
      </c>
      <c r="S22" s="668">
        <f>F22</f>
        <v>100</v>
      </c>
      <c r="T22" s="667" t="s">
        <v>14</v>
      </c>
      <c r="U22" s="668">
        <f>H22</f>
        <v>100</v>
      </c>
      <c r="V22" s="667" t="s">
        <v>14</v>
      </c>
      <c r="W22" s="668">
        <f>J22</f>
        <v>100</v>
      </c>
      <c r="X22" s="1264"/>
      <c r="Y22" s="340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4"/>
      <c r="Q23" s="1262">
        <f>B23</f>
        <v>111</v>
      </c>
      <c r="R23" s="667" t="s">
        <v>14</v>
      </c>
      <c r="S23" s="668">
        <f>F23</f>
        <v>100</v>
      </c>
      <c r="T23" s="667" t="s">
        <v>14</v>
      </c>
      <c r="U23" s="668">
        <f>H23</f>
        <v>100</v>
      </c>
      <c r="V23" s="667" t="s">
        <v>14</v>
      </c>
      <c r="W23" s="668">
        <f>J23</f>
        <v>100</v>
      </c>
      <c r="X23" s="1264"/>
      <c r="Y23" s="340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4"/>
      <c r="Q24" s="1262">
        <f t="shared" ref="Q24:Q34" si="11">B24</f>
        <v>111</v>
      </c>
      <c r="R24" s="667" t="s">
        <v>14</v>
      </c>
      <c r="S24" s="668">
        <f>F24</f>
        <v>100</v>
      </c>
      <c r="T24" s="667" t="s">
        <v>14</v>
      </c>
      <c r="U24" s="668">
        <f>H24</f>
        <v>100</v>
      </c>
      <c r="V24" s="667" t="s">
        <v>14</v>
      </c>
      <c r="W24" s="668">
        <f>J24</f>
        <v>100</v>
      </c>
      <c r="X24" s="1264"/>
      <c r="Y24" s="3404"/>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404"/>
      <c r="Q25" s="530">
        <f t="shared" si="11"/>
        <v>111</v>
      </c>
      <c r="R25" s="664" t="s">
        <v>14</v>
      </c>
      <c r="S25" s="665">
        <f>F25</f>
        <v>100</v>
      </c>
      <c r="T25" s="664" t="s">
        <v>14</v>
      </c>
      <c r="U25" s="665">
        <f>H25</f>
        <v>100</v>
      </c>
      <c r="V25" s="664" t="s">
        <v>14</v>
      </c>
      <c r="W25" s="665">
        <f>J25</f>
        <v>100</v>
      </c>
      <c r="X25" s="666"/>
      <c r="Y25" s="3404"/>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45"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0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8"/>
      <c r="Q28" s="1262" t="str">
        <f t="shared" si="11"/>
        <v>物业等级</v>
      </c>
      <c r="R28" s="667" t="s">
        <v>14</v>
      </c>
      <c r="S28" s="668">
        <f t="shared" si="12"/>
        <v>100</v>
      </c>
      <c r="T28" s="667" t="s">
        <v>14</v>
      </c>
      <c r="U28" s="668">
        <f t="shared" si="13"/>
        <v>100</v>
      </c>
      <c r="V28" s="667" t="s">
        <v>14</v>
      </c>
      <c r="W28" s="668">
        <f t="shared" si="14"/>
        <v>100</v>
      </c>
      <c r="X28" s="1264"/>
      <c r="Y28" s="340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8"/>
      <c r="Q29" s="1262" t="str">
        <f t="shared" si="11"/>
        <v>有无电梯</v>
      </c>
      <c r="R29" s="667" t="s">
        <v>14</v>
      </c>
      <c r="S29" s="668">
        <f t="shared" si="12"/>
        <v>100</v>
      </c>
      <c r="T29" s="667" t="s">
        <v>14</v>
      </c>
      <c r="U29" s="668">
        <f t="shared" si="13"/>
        <v>100</v>
      </c>
      <c r="V29" s="667" t="s">
        <v>14</v>
      </c>
      <c r="W29" s="668">
        <f t="shared" si="14"/>
        <v>100</v>
      </c>
      <c r="X29" s="1264"/>
      <c r="Y29" s="340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8"/>
      <c r="Q30" s="1262" t="str">
        <f t="shared" si="11"/>
        <v>建筑面积</v>
      </c>
      <c r="R30" s="667" t="s">
        <v>14</v>
      </c>
      <c r="S30" s="668" t="e">
        <f t="shared" si="12"/>
        <v>#N/A</v>
      </c>
      <c r="T30" s="667" t="s">
        <v>14</v>
      </c>
      <c r="U30" s="668" t="e">
        <f t="shared" si="13"/>
        <v>#N/A</v>
      </c>
      <c r="V30" s="667" t="s">
        <v>14</v>
      </c>
      <c r="W30" s="668" t="e">
        <f t="shared" si="14"/>
        <v>#N/A</v>
      </c>
      <c r="X30" s="1264"/>
      <c r="Y30" s="340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8" t="s">
        <v>1696</v>
      </c>
      <c r="Q32" s="1262">
        <f t="shared" si="11"/>
        <v>111</v>
      </c>
      <c r="R32" s="667" t="s">
        <v>14</v>
      </c>
      <c r="S32" s="668">
        <f t="shared" si="12"/>
        <v>100</v>
      </c>
      <c r="T32" s="667" t="s">
        <v>14</v>
      </c>
      <c r="U32" s="668">
        <f t="shared" si="13"/>
        <v>100</v>
      </c>
      <c r="V32" s="667" t="s">
        <v>14</v>
      </c>
      <c r="W32" s="668">
        <f t="shared" si="14"/>
        <v>100</v>
      </c>
      <c r="X32" s="1264"/>
      <c r="Y32" s="340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8"/>
      <c r="Q33" s="1262">
        <f t="shared" si="11"/>
        <v>111</v>
      </c>
      <c r="R33" s="667" t="s">
        <v>14</v>
      </c>
      <c r="S33" s="668">
        <f t="shared" si="12"/>
        <v>100</v>
      </c>
      <c r="T33" s="667" t="s">
        <v>14</v>
      </c>
      <c r="U33" s="668">
        <f t="shared" si="13"/>
        <v>100</v>
      </c>
      <c r="V33" s="667" t="s">
        <v>14</v>
      </c>
      <c r="W33" s="668">
        <f t="shared" si="14"/>
        <v>100</v>
      </c>
      <c r="X33" s="1264"/>
      <c r="Y33" s="3408"/>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408"/>
      <c r="Q34" s="1262">
        <f t="shared" si="11"/>
        <v>111</v>
      </c>
      <c r="R34" s="667" t="s">
        <v>14</v>
      </c>
      <c r="S34" s="668">
        <f t="shared" si="12"/>
        <v>100</v>
      </c>
      <c r="T34" s="667" t="s">
        <v>14</v>
      </c>
      <c r="U34" s="668">
        <f t="shared" si="13"/>
        <v>100</v>
      </c>
      <c r="V34" s="667" t="s">
        <v>14</v>
      </c>
      <c r="W34" s="668">
        <f t="shared" si="14"/>
        <v>100</v>
      </c>
      <c r="X34" s="1264"/>
      <c r="Y34" s="3408"/>
      <c r="Z34" s="1263">
        <f t="shared" si="15"/>
        <v>111</v>
      </c>
      <c r="AA34" s="1263">
        <f t="shared" si="3"/>
        <v>1</v>
      </c>
      <c r="AB34" s="1263">
        <f t="shared" si="4"/>
        <v>1</v>
      </c>
      <c r="AC34" s="1263">
        <f t="shared" si="5"/>
        <v>1</v>
      </c>
    </row>
    <row r="35" spans="1:30" ht="14.4">
      <c r="A35" s="416" t="s">
        <v>1708</v>
      </c>
      <c r="B35" s="417"/>
      <c r="C35" s="1081" t="s">
        <v>0</v>
      </c>
      <c r="D35" s="418"/>
      <c r="E35" s="419"/>
      <c r="F35" s="420"/>
      <c r="G35" s="421"/>
      <c r="H35" s="422"/>
      <c r="I35" s="419"/>
      <c r="J35" s="422"/>
      <c r="K35" s="674"/>
      <c r="L35" s="2492"/>
      <c r="M35" s="2485"/>
      <c r="N35" s="2485"/>
      <c r="O35" s="2485"/>
      <c r="P35" s="3410" t="str">
        <f>A35</f>
        <v>成交单价（元/平方米）</v>
      </c>
      <c r="Q35" s="3410"/>
      <c r="R35" s="3398">
        <f>E35</f>
        <v>0</v>
      </c>
      <c r="S35" s="3398"/>
      <c r="T35" s="3398">
        <f>G35</f>
        <v>0</v>
      </c>
      <c r="U35" s="3398"/>
      <c r="V35" s="3398">
        <f>I35</f>
        <v>0</v>
      </c>
      <c r="W35" s="3398"/>
      <c r="X35" s="385"/>
      <c r="Y35" s="673"/>
      <c r="Z35" s="385"/>
      <c r="AA35" s="385"/>
      <c r="AB35" s="385"/>
      <c r="AC35" s="385"/>
    </row>
    <row r="36" spans="1:30" ht="15" thickBot="1">
      <c r="A36" s="423" t="s">
        <v>1793</v>
      </c>
      <c r="B36" s="424"/>
      <c r="C36" s="1082" t="e">
        <f>R37</f>
        <v>#DIV/0!</v>
      </c>
      <c r="D36" s="2140" t="s">
        <v>2135</v>
      </c>
      <c r="E36" s="1083" t="e">
        <f>R36</f>
        <v>#DIV/0!</v>
      </c>
      <c r="F36" s="2141"/>
      <c r="G36" s="1082" t="e">
        <f>T36</f>
        <v>#DIV/0!</v>
      </c>
      <c r="H36" s="2141"/>
      <c r="I36" s="1083" t="e">
        <f>V36</f>
        <v>#DIV/0!</v>
      </c>
      <c r="J36" s="2141"/>
      <c r="K36" s="2143">
        <f>F36+H36+J36</f>
        <v>0</v>
      </c>
      <c r="L36" s="2492"/>
      <c r="M36" s="2485"/>
      <c r="N36" s="2485"/>
      <c r="O36" s="2485"/>
      <c r="P36" s="3410" t="str">
        <f>A36</f>
        <v>比较价值（元/平方米）</v>
      </c>
      <c r="Q36" s="3410"/>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42" t="str">
        <f>A37</f>
        <v>估价对象XX用房的比较价值（楼面单价，元/平方米）</v>
      </c>
      <c r="Q37" s="3443"/>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438" t="s">
        <v>1775</v>
      </c>
      <c r="Q4" s="3439"/>
      <c r="R4" s="3436" t="s">
        <v>1771</v>
      </c>
      <c r="S4" s="3437"/>
      <c r="T4" s="3436" t="s">
        <v>1772</v>
      </c>
      <c r="U4" s="3437"/>
      <c r="V4" s="3398" t="s">
        <v>1773</v>
      </c>
      <c r="W4" s="3398"/>
      <c r="X4" s="1264"/>
      <c r="Y4" s="3436" t="s">
        <v>1775</v>
      </c>
      <c r="Z4" s="3437"/>
      <c r="AA4" s="3435" t="s">
        <v>1771</v>
      </c>
      <c r="AB4" s="3364" t="s">
        <v>1772</v>
      </c>
      <c r="AC4" s="3435" t="s">
        <v>1773</v>
      </c>
    </row>
    <row r="5" spans="1:29">
      <c r="A5" s="348"/>
      <c r="B5" s="349"/>
      <c r="C5" s="3378" t="s">
        <v>1673</v>
      </c>
      <c r="D5" s="3375"/>
      <c r="E5" s="3372" t="s">
        <v>1674</v>
      </c>
      <c r="F5" s="3373"/>
      <c r="G5" s="3378" t="s">
        <v>1675</v>
      </c>
      <c r="H5" s="3375"/>
      <c r="I5" s="3378" t="s">
        <v>1676</v>
      </c>
      <c r="J5" s="3375"/>
      <c r="K5" s="537"/>
      <c r="L5" s="2484"/>
      <c r="M5" s="2485"/>
      <c r="N5" s="2485"/>
      <c r="O5" s="2485"/>
      <c r="P5" s="3440"/>
      <c r="Q5" s="3392"/>
      <c r="R5" s="3370"/>
      <c r="S5" s="3371"/>
      <c r="T5" s="3370"/>
      <c r="U5" s="3371"/>
      <c r="V5" s="3398"/>
      <c r="W5" s="3398"/>
      <c r="X5" s="1264"/>
      <c r="Y5" s="3370"/>
      <c r="Z5" s="3371"/>
      <c r="AA5" s="3364"/>
      <c r="AB5" s="3364"/>
      <c r="AC5" s="3364"/>
    </row>
    <row r="6" spans="1:29" ht="15" thickBot="1">
      <c r="A6" s="350"/>
      <c r="B6" s="351"/>
      <c r="C6" s="3376" t="s">
        <v>1677</v>
      </c>
      <c r="D6" s="3377"/>
      <c r="E6" s="3379" t="s">
        <v>1677</v>
      </c>
      <c r="F6" s="3380"/>
      <c r="G6" s="3376" t="s">
        <v>1677</v>
      </c>
      <c r="H6" s="3377"/>
      <c r="I6" s="3376" t="s">
        <v>1677</v>
      </c>
      <c r="J6" s="3377"/>
      <c r="K6" s="537" t="s">
        <v>1678</v>
      </c>
      <c r="L6" s="2484"/>
      <c r="M6" s="2485"/>
      <c r="N6" s="2485"/>
      <c r="O6" s="2485"/>
      <c r="P6" s="3441"/>
      <c r="Q6" s="3394"/>
      <c r="R6" s="3370"/>
      <c r="S6" s="3371"/>
      <c r="T6" s="3395"/>
      <c r="U6" s="3396"/>
      <c r="V6" s="3398"/>
      <c r="W6" s="3398"/>
      <c r="X6" s="1264"/>
      <c r="Y6" s="3395"/>
      <c r="Z6" s="3396"/>
      <c r="AA6" s="3365"/>
      <c r="AB6" s="3365"/>
      <c r="AC6" s="3365"/>
    </row>
    <row r="7" spans="1:29" s="102" customFormat="1" ht="15" thickBot="1">
      <c r="A7" s="352" t="s">
        <v>1679</v>
      </c>
      <c r="B7" s="353"/>
      <c r="C7" s="354">
        <f>'数据-取费表'!B2</f>
        <v>45649</v>
      </c>
      <c r="D7" s="355">
        <v>100</v>
      </c>
      <c r="E7" s="356"/>
      <c r="F7" s="357">
        <f>SUMIF(69:69,YEAR(E7)&amp;"-"&amp;INT((MONTH(E7)+2)/3),70:70)</f>
        <v>0</v>
      </c>
      <c r="G7" s="1821"/>
      <c r="H7" s="355">
        <f>SUMIF(69:69,YEAR(G7)&amp;"-"&amp;INT((MONTH(G7)+2)/3),70:70)</f>
        <v>0</v>
      </c>
      <c r="I7" s="1821"/>
      <c r="J7" s="355">
        <f>SUMIF(69:69,YEAR(I7)&amp;"-"&amp;INT((MONTH(I7)+2)/3),70:70)</f>
        <v>0</v>
      </c>
      <c r="K7" s="38"/>
      <c r="L7" s="2486"/>
      <c r="M7" s="2438"/>
      <c r="N7" s="2438"/>
      <c r="O7" s="2438"/>
      <c r="P7" s="3366" t="s">
        <v>1680</v>
      </c>
      <c r="Q7" s="3400"/>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6" t="s">
        <v>1683</v>
      </c>
      <c r="Q8" s="3367"/>
      <c r="R8" s="664" t="s">
        <v>14</v>
      </c>
      <c r="S8" s="665">
        <f t="shared" si="0"/>
        <v>0</v>
      </c>
      <c r="T8" s="664" t="s">
        <v>14</v>
      </c>
      <c r="U8" s="665">
        <f t="shared" si="1"/>
        <v>0</v>
      </c>
      <c r="V8" s="664" t="s">
        <v>14</v>
      </c>
      <c r="W8" s="665">
        <f t="shared" si="2"/>
        <v>0</v>
      </c>
      <c r="X8" s="666"/>
      <c r="Y8" s="3366" t="s">
        <v>1683</v>
      </c>
      <c r="Z8" s="3367"/>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410"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123</v>
      </c>
      <c r="G10" s="402"/>
      <c r="H10" s="119">
        <f>ROUND(100/'数据-取费表'!G16,0)</f>
        <v>123</v>
      </c>
      <c r="I10" s="402"/>
      <c r="J10" s="119">
        <f>ROUND(100/'数据-取费表'!G16,0)</f>
        <v>123</v>
      </c>
      <c r="K10" s="592"/>
      <c r="L10" s="2487"/>
      <c r="M10" s="2488"/>
      <c r="N10" s="2488"/>
      <c r="O10" s="2539"/>
      <c r="P10" s="3410"/>
      <c r="Q10" s="530" t="str">
        <f t="shared" si="6"/>
        <v>土地使用年限（年）</v>
      </c>
      <c r="R10" s="664" t="s">
        <v>14</v>
      </c>
      <c r="S10" s="665">
        <f t="shared" si="0"/>
        <v>123</v>
      </c>
      <c r="T10" s="664" t="s">
        <v>14</v>
      </c>
      <c r="U10" s="665">
        <f t="shared" si="1"/>
        <v>123</v>
      </c>
      <c r="V10" s="664" t="s">
        <v>14</v>
      </c>
      <c r="W10" s="665">
        <f t="shared" si="2"/>
        <v>123</v>
      </c>
      <c r="X10" s="666"/>
      <c r="Y10" s="3331"/>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0"/>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0"/>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0"/>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3" t="s">
        <v>1691</v>
      </c>
      <c r="Q15" s="1262" t="str">
        <f t="shared" si="6"/>
        <v>居住社区成熟度</v>
      </c>
      <c r="R15" s="667" t="s">
        <v>14</v>
      </c>
      <c r="S15" s="668">
        <f t="shared" si="0"/>
        <v>100</v>
      </c>
      <c r="T15" s="667" t="s">
        <v>14</v>
      </c>
      <c r="U15" s="668">
        <f t="shared" si="1"/>
        <v>100</v>
      </c>
      <c r="V15" s="667" t="s">
        <v>14</v>
      </c>
      <c r="W15" s="668">
        <f t="shared" si="2"/>
        <v>100</v>
      </c>
      <c r="X15" s="1264"/>
      <c r="Y15" s="340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04"/>
      <c r="Q16" s="1262"/>
      <c r="R16" s="667"/>
      <c r="S16" s="668"/>
      <c r="T16" s="667"/>
      <c r="U16" s="668"/>
      <c r="V16" s="667"/>
      <c r="W16" s="668"/>
      <c r="X16" s="1264"/>
      <c r="Y16" s="3404"/>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4"/>
      <c r="Q17" s="1262" t="str">
        <f>B17</f>
        <v>商业繁华度</v>
      </c>
      <c r="R17" s="667" t="s">
        <v>14</v>
      </c>
      <c r="S17" s="668">
        <f>F17</f>
        <v>100</v>
      </c>
      <c r="T17" s="667" t="s">
        <v>14</v>
      </c>
      <c r="U17" s="668">
        <f>H17</f>
        <v>100</v>
      </c>
      <c r="V17" s="667" t="s">
        <v>14</v>
      </c>
      <c r="W17" s="668">
        <f>J17</f>
        <v>100</v>
      </c>
      <c r="X17" s="1264"/>
      <c r="Y17" s="340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04"/>
      <c r="Q18" s="1262"/>
      <c r="R18" s="667"/>
      <c r="S18" s="668"/>
      <c r="T18" s="667"/>
      <c r="U18" s="668"/>
      <c r="V18" s="667"/>
      <c r="W18" s="668"/>
      <c r="X18" s="1264"/>
      <c r="Y18" s="3404"/>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4"/>
      <c r="Q19" s="1262" t="str">
        <f>B19</f>
        <v>办公集聚程度</v>
      </c>
      <c r="R19" s="667" t="s">
        <v>14</v>
      </c>
      <c r="S19" s="668">
        <f>F19</f>
        <v>100</v>
      </c>
      <c r="T19" s="667" t="s">
        <v>14</v>
      </c>
      <c r="U19" s="668">
        <f>H19</f>
        <v>100</v>
      </c>
      <c r="V19" s="667" t="s">
        <v>14</v>
      </c>
      <c r="W19" s="668">
        <f>J19</f>
        <v>100</v>
      </c>
      <c r="X19" s="1264"/>
      <c r="Y19" s="340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04"/>
      <c r="Q20" s="1262"/>
      <c r="R20" s="667"/>
      <c r="S20" s="668"/>
      <c r="T20" s="667"/>
      <c r="U20" s="668"/>
      <c r="V20" s="667"/>
      <c r="W20" s="668"/>
      <c r="X20" s="1264"/>
      <c r="Y20" s="3404"/>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4"/>
      <c r="Q21" s="1262" t="str">
        <f>B21</f>
        <v>交通便捷度</v>
      </c>
      <c r="R21" s="667" t="s">
        <v>14</v>
      </c>
      <c r="S21" s="668">
        <f>F21</f>
        <v>100</v>
      </c>
      <c r="T21" s="667" t="s">
        <v>14</v>
      </c>
      <c r="U21" s="668">
        <f>H21</f>
        <v>100</v>
      </c>
      <c r="V21" s="667" t="s">
        <v>14</v>
      </c>
      <c r="W21" s="668">
        <f>J21</f>
        <v>100</v>
      </c>
      <c r="X21" s="1264"/>
      <c r="Y21" s="3404"/>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04"/>
      <c r="Q22" s="1262"/>
      <c r="R22" s="667"/>
      <c r="S22" s="668"/>
      <c r="T22" s="667"/>
      <c r="U22" s="668"/>
      <c r="V22" s="667"/>
      <c r="W22" s="668"/>
      <c r="X22" s="1264"/>
      <c r="Y22" s="3404"/>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4"/>
      <c r="Q23" s="1262" t="str">
        <f t="shared" ref="Q23:Q37" si="8">B23</f>
        <v>区域土地利用方向</v>
      </c>
      <c r="R23" s="667" t="s">
        <v>14</v>
      </c>
      <c r="S23" s="668">
        <f>F23</f>
        <v>100</v>
      </c>
      <c r="T23" s="667" t="s">
        <v>14</v>
      </c>
      <c r="U23" s="668">
        <f>H23</f>
        <v>100</v>
      </c>
      <c r="V23" s="667" t="s">
        <v>14</v>
      </c>
      <c r="W23" s="668">
        <f>J23</f>
        <v>100</v>
      </c>
      <c r="X23" s="1264"/>
      <c r="Y23" s="340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04"/>
      <c r="Q24" s="1262"/>
      <c r="R24" s="667"/>
      <c r="S24" s="668"/>
      <c r="T24" s="667"/>
      <c r="U24" s="668"/>
      <c r="V24" s="667"/>
      <c r="W24" s="668"/>
      <c r="X24" s="1264"/>
      <c r="Y24" s="3404"/>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4"/>
      <c r="Q25" s="1262" t="str">
        <f t="shared" si="8"/>
        <v>自然及人文环境状况</v>
      </c>
      <c r="R25" s="667" t="s">
        <v>14</v>
      </c>
      <c r="S25" s="668">
        <f>F25</f>
        <v>100</v>
      </c>
      <c r="T25" s="667" t="s">
        <v>14</v>
      </c>
      <c r="U25" s="668">
        <f>H25</f>
        <v>100</v>
      </c>
      <c r="V25" s="667" t="s">
        <v>14</v>
      </c>
      <c r="W25" s="668">
        <f>J25</f>
        <v>100</v>
      </c>
      <c r="X25" s="1264"/>
      <c r="Y25" s="340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04"/>
      <c r="Q26" s="1262"/>
      <c r="R26" s="667"/>
      <c r="S26" s="668"/>
      <c r="T26" s="667"/>
      <c r="U26" s="668"/>
      <c r="V26" s="667"/>
      <c r="W26" s="668"/>
      <c r="X26" s="1264"/>
      <c r="Y26" s="3404"/>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8"/>
      <c r="N28" s="2438"/>
      <c r="O28" s="2538"/>
      <c r="P28" s="3404"/>
      <c r="Q28" s="530"/>
      <c r="R28" s="664"/>
      <c r="S28" s="665"/>
      <c r="T28" s="664"/>
      <c r="U28" s="665"/>
      <c r="V28" s="664"/>
      <c r="W28" s="665"/>
      <c r="X28" s="666"/>
      <c r="Y28" s="3404"/>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8"/>
      <c r="N30" s="2438"/>
      <c r="O30" s="2538"/>
      <c r="P30" s="3404"/>
      <c r="Q30" s="530"/>
      <c r="R30" s="664"/>
      <c r="S30" s="665"/>
      <c r="T30" s="664"/>
      <c r="U30" s="665"/>
      <c r="V30" s="664"/>
      <c r="W30" s="665"/>
      <c r="X30" s="666"/>
      <c r="Y30" s="340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04"/>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4"/>
      <c r="Q32" s="1262" t="str">
        <f t="shared" si="8"/>
        <v>毗邻道路的类型与等级</v>
      </c>
      <c r="R32" s="667" t="s">
        <v>14</v>
      </c>
      <c r="S32" s="668">
        <f t="shared" si="10"/>
        <v>100</v>
      </c>
      <c r="T32" s="667" t="s">
        <v>14</v>
      </c>
      <c r="U32" s="668">
        <f t="shared" si="11"/>
        <v>100</v>
      </c>
      <c r="V32" s="667" t="s">
        <v>14</v>
      </c>
      <c r="W32" s="668">
        <f t="shared" si="12"/>
        <v>100</v>
      </c>
      <c r="X32" s="1264"/>
      <c r="Y32" s="340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04"/>
      <c r="Q33" s="1262"/>
      <c r="R33" s="667"/>
      <c r="S33" s="668"/>
      <c r="T33" s="667"/>
      <c r="U33" s="668"/>
      <c r="V33" s="667"/>
      <c r="W33" s="668"/>
      <c r="X33" s="1264"/>
      <c r="Y33" s="340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4"/>
      <c r="Q34" s="1262" t="str">
        <f t="shared" si="8"/>
        <v>土地级别</v>
      </c>
      <c r="R34" s="667" t="s">
        <v>14</v>
      </c>
      <c r="S34" s="668">
        <f t="shared" si="10"/>
        <v>100</v>
      </c>
      <c r="T34" s="667" t="s">
        <v>14</v>
      </c>
      <c r="U34" s="668">
        <f t="shared" si="11"/>
        <v>100</v>
      </c>
      <c r="V34" s="667" t="s">
        <v>14</v>
      </c>
      <c r="W34" s="668">
        <f t="shared" si="12"/>
        <v>100</v>
      </c>
      <c r="X34" s="1264"/>
      <c r="Y34" s="3404"/>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4"/>
      <c r="Q35" s="1262">
        <f t="shared" si="8"/>
        <v>111</v>
      </c>
      <c r="R35" s="667" t="s">
        <v>14</v>
      </c>
      <c r="S35" s="668">
        <f t="shared" si="10"/>
        <v>100</v>
      </c>
      <c r="T35" s="667" t="s">
        <v>14</v>
      </c>
      <c r="U35" s="668">
        <f t="shared" si="11"/>
        <v>100</v>
      </c>
      <c r="V35" s="667" t="s">
        <v>14</v>
      </c>
      <c r="W35" s="668">
        <f t="shared" si="12"/>
        <v>100</v>
      </c>
      <c r="X35" s="1264"/>
      <c r="Y35" s="3404"/>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5" t="s">
        <v>1696</v>
      </c>
      <c r="Q36" s="1262">
        <f t="shared" si="8"/>
        <v>111</v>
      </c>
      <c r="R36" s="667" t="s">
        <v>14</v>
      </c>
      <c r="S36" s="668">
        <f t="shared" si="10"/>
        <v>100</v>
      </c>
      <c r="T36" s="667" t="s">
        <v>14</v>
      </c>
      <c r="U36" s="668">
        <f t="shared" si="11"/>
        <v>100</v>
      </c>
      <c r="V36" s="667" t="s">
        <v>14</v>
      </c>
      <c r="W36" s="668">
        <f t="shared" si="12"/>
        <v>100</v>
      </c>
      <c r="X36" s="1264"/>
      <c r="Y36" s="3408"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8"/>
      <c r="Q37" s="1262">
        <f t="shared" si="8"/>
        <v>111</v>
      </c>
      <c r="R37" s="669" t="s">
        <v>14</v>
      </c>
      <c r="S37" s="670">
        <f t="shared" si="10"/>
        <v>100</v>
      </c>
      <c r="T37" s="669" t="s">
        <v>14</v>
      </c>
      <c r="U37" s="670">
        <f t="shared" si="11"/>
        <v>100</v>
      </c>
      <c r="V37" s="669" t="s">
        <v>14</v>
      </c>
      <c r="W37" s="670">
        <f t="shared" si="12"/>
        <v>100</v>
      </c>
      <c r="X37" s="671"/>
      <c r="Y37" s="3408"/>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8"/>
      <c r="Q38" s="1262" t="str">
        <f>B38</f>
        <v>宗地面积</v>
      </c>
      <c r="R38" s="667" t="s">
        <v>14</v>
      </c>
      <c r="S38" s="668" t="e">
        <f t="shared" si="10"/>
        <v>#N/A</v>
      </c>
      <c r="T38" s="667" t="s">
        <v>14</v>
      </c>
      <c r="U38" s="668" t="e">
        <f t="shared" si="11"/>
        <v>#N/A</v>
      </c>
      <c r="V38" s="667" t="s">
        <v>14</v>
      </c>
      <c r="W38" s="668" t="e">
        <f t="shared" si="12"/>
        <v>#N/A</v>
      </c>
      <c r="X38" s="1264"/>
      <c r="Y38" s="3408"/>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08"/>
      <c r="Q39" s="1262" t="str">
        <f t="shared" ref="Q39:Q45" si="14">B39</f>
        <v>宗地形状</v>
      </c>
      <c r="R39" s="667" t="s">
        <v>14</v>
      </c>
      <c r="S39" s="668">
        <f t="shared" si="10"/>
        <v>100</v>
      </c>
      <c r="T39" s="667" t="s">
        <v>14</v>
      </c>
      <c r="U39" s="668">
        <f t="shared" si="11"/>
        <v>100</v>
      </c>
      <c r="V39" s="667" t="s">
        <v>14</v>
      </c>
      <c r="W39" s="668">
        <f t="shared" si="12"/>
        <v>100</v>
      </c>
      <c r="X39" s="1264"/>
      <c r="Y39" s="3408"/>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08"/>
      <c r="Q40" s="1262" t="str">
        <f t="shared" si="14"/>
        <v>临街宽度及深度</v>
      </c>
      <c r="R40" s="667" t="s">
        <v>14</v>
      </c>
      <c r="S40" s="668">
        <f t="shared" si="10"/>
        <v>100</v>
      </c>
      <c r="T40" s="667" t="s">
        <v>14</v>
      </c>
      <c r="U40" s="668">
        <f t="shared" si="11"/>
        <v>100</v>
      </c>
      <c r="V40" s="667" t="s">
        <v>14</v>
      </c>
      <c r="W40" s="668">
        <f t="shared" si="12"/>
        <v>100</v>
      </c>
      <c r="X40" s="1264"/>
      <c r="Y40" s="3408"/>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8"/>
      <c r="N41" s="2438"/>
      <c r="O41" s="2538"/>
      <c r="P41" s="3408"/>
      <c r="Q41" s="1262"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08" t="s">
        <v>1696</v>
      </c>
      <c r="Q42" s="1262" t="str">
        <f t="shared" si="14"/>
        <v>工程地质条件</v>
      </c>
      <c r="R42" s="667" t="s">
        <v>14</v>
      </c>
      <c r="S42" s="668">
        <f t="shared" si="10"/>
        <v>100</v>
      </c>
      <c r="T42" s="667" t="s">
        <v>14</v>
      </c>
      <c r="U42" s="668">
        <f t="shared" si="11"/>
        <v>100</v>
      </c>
      <c r="V42" s="667" t="s">
        <v>14</v>
      </c>
      <c r="W42" s="668">
        <f t="shared" si="12"/>
        <v>100</v>
      </c>
      <c r="X42" s="1264"/>
      <c r="Y42" s="3408"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8"/>
      <c r="Q43" s="1262">
        <f t="shared" si="14"/>
        <v>111</v>
      </c>
      <c r="R43" s="667" t="s">
        <v>14</v>
      </c>
      <c r="S43" s="668">
        <f t="shared" si="10"/>
        <v>100</v>
      </c>
      <c r="T43" s="667" t="s">
        <v>14</v>
      </c>
      <c r="U43" s="668">
        <f t="shared" si="11"/>
        <v>100</v>
      </c>
      <c r="V43" s="667" t="s">
        <v>14</v>
      </c>
      <c r="W43" s="668">
        <f t="shared" si="12"/>
        <v>100</v>
      </c>
      <c r="X43" s="1264"/>
      <c r="Y43" s="3408"/>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8"/>
      <c r="Q44" s="1262">
        <f t="shared" si="14"/>
        <v>111</v>
      </c>
      <c r="R44" s="667" t="s">
        <v>14</v>
      </c>
      <c r="S44" s="668">
        <f t="shared" si="10"/>
        <v>100</v>
      </c>
      <c r="T44" s="667" t="s">
        <v>14</v>
      </c>
      <c r="U44" s="668">
        <f t="shared" si="11"/>
        <v>100</v>
      </c>
      <c r="V44" s="667" t="s">
        <v>14</v>
      </c>
      <c r="W44" s="668">
        <f t="shared" si="12"/>
        <v>100</v>
      </c>
      <c r="X44" s="1264"/>
      <c r="Y44" s="3408"/>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8"/>
      <c r="Q45" s="1262">
        <f t="shared" si="14"/>
        <v>111</v>
      </c>
      <c r="R45" s="669" t="s">
        <v>14</v>
      </c>
      <c r="S45" s="670">
        <f t="shared" si="10"/>
        <v>100</v>
      </c>
      <c r="T45" s="669" t="s">
        <v>14</v>
      </c>
      <c r="U45" s="670">
        <f t="shared" si="11"/>
        <v>100</v>
      </c>
      <c r="V45" s="669" t="s">
        <v>14</v>
      </c>
      <c r="W45" s="670">
        <f t="shared" si="12"/>
        <v>100</v>
      </c>
      <c r="X45" s="671"/>
      <c r="Y45" s="3408"/>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2"/>
      <c r="M46" s="2485"/>
      <c r="N46" s="2485"/>
      <c r="O46" s="2485"/>
      <c r="P46" s="3410" t="str">
        <f>A46</f>
        <v>成交单价</v>
      </c>
      <c r="Q46" s="3410"/>
      <c r="R46" s="3398">
        <f>E46</f>
        <v>0</v>
      </c>
      <c r="S46" s="3398"/>
      <c r="T46" s="3398">
        <f>G46</f>
        <v>0</v>
      </c>
      <c r="U46" s="3398"/>
      <c r="V46" s="3398">
        <f>I46</f>
        <v>0</v>
      </c>
      <c r="W46" s="3398"/>
      <c r="X46" s="385"/>
      <c r="Y46" s="673"/>
      <c r="Z46" s="385"/>
      <c r="AA46" s="385"/>
      <c r="AB46" s="385"/>
      <c r="AC46" s="385"/>
    </row>
    <row r="47" spans="1:29" ht="15" thickBot="1">
      <c r="A47" s="423" t="s">
        <v>1793</v>
      </c>
      <c r="B47" s="603"/>
      <c r="C47" s="426" t="e">
        <f>R48</f>
        <v>#DIV/0!</v>
      </c>
      <c r="D47" s="2140" t="s">
        <v>2135</v>
      </c>
      <c r="E47" s="426" t="e">
        <f>R47</f>
        <v>#DIV/0!</v>
      </c>
      <c r="F47" s="2141"/>
      <c r="G47" s="425" t="e">
        <f>T47</f>
        <v>#DIV/0!</v>
      </c>
      <c r="H47" s="2141"/>
      <c r="I47" s="426" t="e">
        <f>V47</f>
        <v>#DIV/0!</v>
      </c>
      <c r="J47" s="2141"/>
      <c r="K47" s="2143">
        <f>F47+H47+J47</f>
        <v>0</v>
      </c>
      <c r="L47" s="2492"/>
      <c r="M47" s="2485"/>
      <c r="N47" s="2485"/>
      <c r="O47" s="2485"/>
      <c r="P47" s="3410" t="str">
        <f>A47</f>
        <v>比较价值（元/平方米）</v>
      </c>
      <c r="Q47" s="3410"/>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42" t="str">
        <f>A48</f>
        <v>估价对象XX用房的比较价值（楼面单价，元/平方米）</v>
      </c>
      <c r="Q48" s="3443"/>
      <c r="R48" s="3448" t="e">
        <f>ROUND(IF(D47="简单平均",AVERAGE(R47:W47),R47*F47+T47*H47+V47*J47),0)</f>
        <v>#DIV/0!</v>
      </c>
      <c r="S48" s="3448"/>
      <c r="T48" s="3448"/>
      <c r="U48" s="3448"/>
      <c r="V48" s="3448"/>
      <c r="W48" s="344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7" t="s">
        <v>1886</v>
      </c>
      <c r="G55" s="3385" t="s">
        <v>1887</v>
      </c>
      <c r="H55" s="3449"/>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179.5</v>
      </c>
      <c r="F56" s="833" t="e">
        <f t="shared" ref="F56:F64" si="15">ROUND(B56*E56/10000,0)</f>
        <v>#DIV/0!</v>
      </c>
      <c r="G56" s="3381"/>
      <c r="H56" s="341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4" t="s">
        <v>1896</v>
      </c>
      <c r="H60" s="834" t="str">
        <f>项目基本情况!C37</f>
        <v>四级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5" t="s">
        <v>1896</v>
      </c>
      <c r="H64" s="844" t="str">
        <f>项目基本情况!C37</f>
        <v>四级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179.5</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4"/>
      <c r="M4" s="2485"/>
      <c r="N4" s="2485"/>
      <c r="O4" s="2485"/>
      <c r="P4" s="3438" t="s">
        <v>1775</v>
      </c>
      <c r="Q4" s="3439"/>
      <c r="R4" s="3436" t="s">
        <v>1771</v>
      </c>
      <c r="S4" s="3437"/>
      <c r="T4" s="3436" t="s">
        <v>1772</v>
      </c>
      <c r="U4" s="3437"/>
      <c r="V4" s="3398" t="s">
        <v>1773</v>
      </c>
      <c r="W4" s="3398"/>
      <c r="X4" s="1264"/>
      <c r="Y4" s="3436" t="s">
        <v>1775</v>
      </c>
      <c r="Z4" s="3437"/>
      <c r="AA4" s="3435" t="s">
        <v>1771</v>
      </c>
      <c r="AB4" s="3364" t="s">
        <v>1772</v>
      </c>
      <c r="AC4" s="3435" t="s">
        <v>1773</v>
      </c>
    </row>
    <row r="5" spans="1:29">
      <c r="A5" s="348"/>
      <c r="B5" s="349"/>
      <c r="C5" s="3378" t="s">
        <v>1673</v>
      </c>
      <c r="D5" s="3375"/>
      <c r="E5" s="3372" t="s">
        <v>1674</v>
      </c>
      <c r="F5" s="3373"/>
      <c r="G5" s="3378" t="s">
        <v>1675</v>
      </c>
      <c r="H5" s="3375"/>
      <c r="I5" s="3378" t="s">
        <v>1676</v>
      </c>
      <c r="J5" s="3375"/>
      <c r="K5" s="537"/>
      <c r="L5" s="2484"/>
      <c r="M5" s="2485"/>
      <c r="N5" s="2485"/>
      <c r="O5" s="2485"/>
      <c r="P5" s="3440"/>
      <c r="Q5" s="3392"/>
      <c r="R5" s="3370"/>
      <c r="S5" s="3371"/>
      <c r="T5" s="3370"/>
      <c r="U5" s="3371"/>
      <c r="V5" s="3398"/>
      <c r="W5" s="3398"/>
      <c r="X5" s="1264"/>
      <c r="Y5" s="3370"/>
      <c r="Z5" s="3371"/>
      <c r="AA5" s="3364"/>
      <c r="AB5" s="3364"/>
      <c r="AC5" s="3364"/>
    </row>
    <row r="6" spans="1:29" ht="15" thickBot="1">
      <c r="A6" s="350"/>
      <c r="B6" s="351"/>
      <c r="C6" s="3450" t="s">
        <v>1919</v>
      </c>
      <c r="D6" s="3451"/>
      <c r="E6" s="3452" t="s">
        <v>1919</v>
      </c>
      <c r="F6" s="3453"/>
      <c r="G6" s="3450" t="s">
        <v>1919</v>
      </c>
      <c r="H6" s="3451"/>
      <c r="I6" s="3450" t="s">
        <v>1919</v>
      </c>
      <c r="J6" s="3451"/>
      <c r="K6" s="537" t="s">
        <v>1678</v>
      </c>
      <c r="L6" s="2484"/>
      <c r="M6" s="2485"/>
      <c r="N6" s="2485"/>
      <c r="O6" s="2485"/>
      <c r="P6" s="3441"/>
      <c r="Q6" s="3394"/>
      <c r="R6" s="3370"/>
      <c r="S6" s="3371"/>
      <c r="T6" s="3395"/>
      <c r="U6" s="3396"/>
      <c r="V6" s="3398"/>
      <c r="W6" s="3398"/>
      <c r="X6" s="1264"/>
      <c r="Y6" s="3395"/>
      <c r="Z6" s="3396"/>
      <c r="AA6" s="3365"/>
      <c r="AB6" s="3365"/>
      <c r="AC6" s="3365"/>
    </row>
    <row r="7" spans="1:29" s="102" customFormat="1" ht="15" thickBot="1">
      <c r="A7" s="352" t="s">
        <v>1679</v>
      </c>
      <c r="B7" s="353"/>
      <c r="C7" s="354">
        <f>'数据-取费表'!B2</f>
        <v>45649</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366" t="s">
        <v>1680</v>
      </c>
      <c r="Q7" s="3400"/>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6" t="s">
        <v>1683</v>
      </c>
      <c r="Q8" s="3367"/>
      <c r="R8" s="664" t="s">
        <v>14</v>
      </c>
      <c r="S8" s="665">
        <f t="shared" si="0"/>
        <v>0</v>
      </c>
      <c r="T8" s="664" t="s">
        <v>14</v>
      </c>
      <c r="U8" s="665">
        <f t="shared" si="1"/>
        <v>0</v>
      </c>
      <c r="V8" s="664" t="s">
        <v>14</v>
      </c>
      <c r="W8" s="665">
        <f t="shared" si="2"/>
        <v>0</v>
      </c>
      <c r="X8" s="666"/>
      <c r="Y8" s="3366" t="s">
        <v>1683</v>
      </c>
      <c r="Z8" s="3367"/>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410"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123</v>
      </c>
      <c r="G10" s="371"/>
      <c r="H10" s="119">
        <f>ROUND(100/'数据-取费表'!G16,0)</f>
        <v>123</v>
      </c>
      <c r="I10" s="371"/>
      <c r="J10" s="119">
        <f>ROUND(100/'数据-取费表'!G16,0)</f>
        <v>123</v>
      </c>
      <c r="K10" s="592"/>
      <c r="L10" s="2487"/>
      <c r="M10" s="2488"/>
      <c r="N10" s="2488"/>
      <c r="O10" s="2539"/>
      <c r="P10" s="3410"/>
      <c r="Q10" s="530" t="str">
        <f t="shared" si="6"/>
        <v>土地使用年限（年）</v>
      </c>
      <c r="R10" s="664" t="s">
        <v>14</v>
      </c>
      <c r="S10" s="665">
        <f t="shared" si="0"/>
        <v>123</v>
      </c>
      <c r="T10" s="664" t="s">
        <v>14</v>
      </c>
      <c r="U10" s="665">
        <f t="shared" si="1"/>
        <v>123</v>
      </c>
      <c r="V10" s="664" t="s">
        <v>14</v>
      </c>
      <c r="W10" s="665">
        <f t="shared" si="2"/>
        <v>123</v>
      </c>
      <c r="X10" s="666"/>
      <c r="Y10" s="3331"/>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0"/>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0"/>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0"/>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3" t="s">
        <v>1691</v>
      </c>
      <c r="Q15" s="1262" t="str">
        <f t="shared" si="6"/>
        <v>产业集聚程度</v>
      </c>
      <c r="R15" s="667" t="s">
        <v>14</v>
      </c>
      <c r="S15" s="668">
        <f t="shared" si="0"/>
        <v>100</v>
      </c>
      <c r="T15" s="667" t="s">
        <v>14</v>
      </c>
      <c r="U15" s="668">
        <f t="shared" si="1"/>
        <v>100</v>
      </c>
      <c r="V15" s="667" t="s">
        <v>14</v>
      </c>
      <c r="W15" s="668">
        <f t="shared" si="2"/>
        <v>100</v>
      </c>
      <c r="X15" s="1264"/>
      <c r="Y15" s="3403"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04"/>
      <c r="Q16" s="1262"/>
      <c r="R16" s="667"/>
      <c r="S16" s="668"/>
      <c r="T16" s="667"/>
      <c r="U16" s="668"/>
      <c r="V16" s="667"/>
      <c r="W16" s="668"/>
      <c r="X16" s="1264"/>
      <c r="Y16" s="3404"/>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4"/>
      <c r="Q17" s="1262" t="str">
        <f>B17</f>
        <v>交通便捷度</v>
      </c>
      <c r="R17" s="667" t="s">
        <v>14</v>
      </c>
      <c r="S17" s="668">
        <f>F17</f>
        <v>100</v>
      </c>
      <c r="T17" s="667" t="s">
        <v>14</v>
      </c>
      <c r="U17" s="668">
        <f>H17</f>
        <v>100</v>
      </c>
      <c r="V17" s="667" t="s">
        <v>14</v>
      </c>
      <c r="W17" s="668">
        <f>J17</f>
        <v>100</v>
      </c>
      <c r="X17" s="1264"/>
      <c r="Y17" s="3404"/>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04"/>
      <c r="Q18" s="1262"/>
      <c r="R18" s="667"/>
      <c r="S18" s="668"/>
      <c r="T18" s="667"/>
      <c r="U18" s="668"/>
      <c r="V18" s="667"/>
      <c r="W18" s="668"/>
      <c r="X18" s="1264"/>
      <c r="Y18" s="3404"/>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4"/>
      <c r="Q19" s="1262" t="str">
        <f t="shared" ref="Q19:Q33" si="8">B19</f>
        <v>区域土地利用方向</v>
      </c>
      <c r="R19" s="667" t="s">
        <v>14</v>
      </c>
      <c r="S19" s="668">
        <f>F19</f>
        <v>100</v>
      </c>
      <c r="T19" s="667" t="s">
        <v>14</v>
      </c>
      <c r="U19" s="668">
        <f>H19</f>
        <v>100</v>
      </c>
      <c r="V19" s="667" t="s">
        <v>14</v>
      </c>
      <c r="W19" s="668">
        <f>J19</f>
        <v>100</v>
      </c>
      <c r="X19" s="1264"/>
      <c r="Y19" s="3404"/>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04"/>
      <c r="Q20" s="1262"/>
      <c r="R20" s="667"/>
      <c r="S20" s="668"/>
      <c r="T20" s="667"/>
      <c r="U20" s="668"/>
      <c r="V20" s="667"/>
      <c r="W20" s="668"/>
      <c r="X20" s="1264"/>
      <c r="Y20" s="3404"/>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4"/>
      <c r="Q21" s="1262" t="str">
        <f t="shared" si="8"/>
        <v>环境状况</v>
      </c>
      <c r="R21" s="667" t="s">
        <v>14</v>
      </c>
      <c r="S21" s="668">
        <f>F21</f>
        <v>100</v>
      </c>
      <c r="T21" s="667" t="s">
        <v>14</v>
      </c>
      <c r="U21" s="668">
        <f>H21</f>
        <v>100</v>
      </c>
      <c r="V21" s="667" t="s">
        <v>14</v>
      </c>
      <c r="W21" s="668">
        <f>J21</f>
        <v>100</v>
      </c>
      <c r="X21" s="1264"/>
      <c r="Y21" s="3404"/>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04"/>
      <c r="Q22" s="1262"/>
      <c r="R22" s="667"/>
      <c r="S22" s="668"/>
      <c r="T22" s="667"/>
      <c r="U22" s="668"/>
      <c r="V22" s="667"/>
      <c r="W22" s="668"/>
      <c r="X22" s="1264"/>
      <c r="Y22" s="3404"/>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8"/>
      <c r="N24" s="2438"/>
      <c r="O24" s="2538"/>
      <c r="P24" s="3404"/>
      <c r="Q24" s="530"/>
      <c r="R24" s="664"/>
      <c r="S24" s="665"/>
      <c r="T24" s="664"/>
      <c r="U24" s="665"/>
      <c r="V24" s="664"/>
      <c r="W24" s="665"/>
      <c r="X24" s="666"/>
      <c r="Y24" s="3404"/>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8"/>
      <c r="N26" s="2438"/>
      <c r="O26" s="2538"/>
      <c r="P26" s="3404"/>
      <c r="Q26" s="530"/>
      <c r="R26" s="664"/>
      <c r="S26" s="665"/>
      <c r="T26" s="664"/>
      <c r="U26" s="665"/>
      <c r="V26" s="664"/>
      <c r="W26" s="665"/>
      <c r="X26" s="666"/>
      <c r="Y26" s="340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04"/>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4"/>
      <c r="Q28" s="1262" t="str">
        <f t="shared" si="8"/>
        <v>毗邻道路的类型与等级</v>
      </c>
      <c r="R28" s="667" t="s">
        <v>14</v>
      </c>
      <c r="S28" s="668">
        <f t="shared" si="10"/>
        <v>100</v>
      </c>
      <c r="T28" s="667" t="s">
        <v>14</v>
      </c>
      <c r="U28" s="668">
        <f t="shared" si="11"/>
        <v>100</v>
      </c>
      <c r="V28" s="667" t="s">
        <v>14</v>
      </c>
      <c r="W28" s="668">
        <f t="shared" si="12"/>
        <v>100</v>
      </c>
      <c r="X28" s="1264"/>
      <c r="Y28" s="340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04"/>
      <c r="Q29" s="1262"/>
      <c r="R29" s="667"/>
      <c r="S29" s="668"/>
      <c r="T29" s="667"/>
      <c r="U29" s="668"/>
      <c r="V29" s="667"/>
      <c r="W29" s="668"/>
      <c r="X29" s="1264"/>
      <c r="Y29" s="3404"/>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4"/>
      <c r="Q30" s="1262" t="str">
        <f t="shared" si="8"/>
        <v>土地级别</v>
      </c>
      <c r="R30" s="667" t="s">
        <v>14</v>
      </c>
      <c r="S30" s="668">
        <f t="shared" si="10"/>
        <v>100</v>
      </c>
      <c r="T30" s="667" t="s">
        <v>14</v>
      </c>
      <c r="U30" s="668">
        <f t="shared" si="11"/>
        <v>100</v>
      </c>
      <c r="V30" s="667" t="s">
        <v>14</v>
      </c>
      <c r="W30" s="668">
        <f t="shared" si="12"/>
        <v>100</v>
      </c>
      <c r="X30" s="1264"/>
      <c r="Y30" s="3404"/>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4"/>
      <c r="Q31" s="1262">
        <f t="shared" si="8"/>
        <v>111</v>
      </c>
      <c r="R31" s="667" t="s">
        <v>14</v>
      </c>
      <c r="S31" s="668">
        <f t="shared" si="10"/>
        <v>100</v>
      </c>
      <c r="T31" s="667" t="s">
        <v>14</v>
      </c>
      <c r="U31" s="668">
        <f t="shared" si="11"/>
        <v>100</v>
      </c>
      <c r="V31" s="667" t="s">
        <v>14</v>
      </c>
      <c r="W31" s="668">
        <f t="shared" si="12"/>
        <v>100</v>
      </c>
      <c r="X31" s="1264"/>
      <c r="Y31" s="3404"/>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5" t="s">
        <v>1696</v>
      </c>
      <c r="Q32" s="1262">
        <f t="shared" si="8"/>
        <v>111</v>
      </c>
      <c r="R32" s="667" t="s">
        <v>14</v>
      </c>
      <c r="S32" s="668">
        <f t="shared" si="10"/>
        <v>100</v>
      </c>
      <c r="T32" s="667" t="s">
        <v>14</v>
      </c>
      <c r="U32" s="668">
        <f t="shared" si="11"/>
        <v>100</v>
      </c>
      <c r="V32" s="667" t="s">
        <v>14</v>
      </c>
      <c r="W32" s="668">
        <f t="shared" si="12"/>
        <v>100</v>
      </c>
      <c r="X32" s="1264"/>
      <c r="Y32" s="3408"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8"/>
      <c r="Q33" s="1262">
        <f t="shared" si="8"/>
        <v>111</v>
      </c>
      <c r="R33" s="669" t="s">
        <v>14</v>
      </c>
      <c r="S33" s="670">
        <f t="shared" si="10"/>
        <v>100</v>
      </c>
      <c r="T33" s="669" t="s">
        <v>14</v>
      </c>
      <c r="U33" s="670">
        <f t="shared" si="11"/>
        <v>100</v>
      </c>
      <c r="V33" s="669" t="s">
        <v>14</v>
      </c>
      <c r="W33" s="670">
        <f t="shared" si="12"/>
        <v>100</v>
      </c>
      <c r="X33" s="671"/>
      <c r="Y33" s="3408"/>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8"/>
      <c r="Q34" s="1262" t="str">
        <f>B34</f>
        <v>宗地面积</v>
      </c>
      <c r="R34" s="667" t="s">
        <v>14</v>
      </c>
      <c r="S34" s="668" t="e">
        <f t="shared" si="10"/>
        <v>#N/A</v>
      </c>
      <c r="T34" s="667" t="s">
        <v>14</v>
      </c>
      <c r="U34" s="668" t="e">
        <f t="shared" si="11"/>
        <v>#N/A</v>
      </c>
      <c r="V34" s="667" t="s">
        <v>14</v>
      </c>
      <c r="W34" s="668" t="e">
        <f t="shared" si="12"/>
        <v>#N/A</v>
      </c>
      <c r="X34" s="1264"/>
      <c r="Y34" s="3408"/>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08"/>
      <c r="Q35" s="1262" t="str">
        <f t="shared" ref="Q35:Q40" si="14">B35</f>
        <v>宗地形状</v>
      </c>
      <c r="R35" s="667" t="s">
        <v>14</v>
      </c>
      <c r="S35" s="668">
        <f t="shared" si="10"/>
        <v>100</v>
      </c>
      <c r="T35" s="667" t="s">
        <v>14</v>
      </c>
      <c r="U35" s="668">
        <f t="shared" si="11"/>
        <v>100</v>
      </c>
      <c r="V35" s="667" t="s">
        <v>14</v>
      </c>
      <c r="W35" s="668">
        <f t="shared" si="12"/>
        <v>100</v>
      </c>
      <c r="X35" s="1264"/>
      <c r="Y35" s="3408"/>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408"/>
      <c r="Q36" s="1262"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08" t="s">
        <v>1696</v>
      </c>
      <c r="Q37" s="1262" t="str">
        <f t="shared" si="14"/>
        <v>工程地质条件</v>
      </c>
      <c r="R37" s="667" t="s">
        <v>14</v>
      </c>
      <c r="S37" s="668">
        <f t="shared" si="10"/>
        <v>100</v>
      </c>
      <c r="T37" s="667" t="s">
        <v>14</v>
      </c>
      <c r="U37" s="668">
        <f t="shared" si="11"/>
        <v>100</v>
      </c>
      <c r="V37" s="667" t="s">
        <v>14</v>
      </c>
      <c r="W37" s="668">
        <f t="shared" si="12"/>
        <v>100</v>
      </c>
      <c r="X37" s="1264"/>
      <c r="Y37" s="3408"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8"/>
      <c r="Q38" s="1262">
        <f t="shared" si="14"/>
        <v>111</v>
      </c>
      <c r="R38" s="667" t="s">
        <v>14</v>
      </c>
      <c r="S38" s="668">
        <f t="shared" si="10"/>
        <v>100</v>
      </c>
      <c r="T38" s="667" t="s">
        <v>14</v>
      </c>
      <c r="U38" s="668">
        <f t="shared" si="11"/>
        <v>100</v>
      </c>
      <c r="V38" s="667" t="s">
        <v>14</v>
      </c>
      <c r="W38" s="668">
        <f t="shared" si="12"/>
        <v>100</v>
      </c>
      <c r="X38" s="1264"/>
      <c r="Y38" s="3408"/>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8"/>
      <c r="Q39" s="1262">
        <f t="shared" si="14"/>
        <v>111</v>
      </c>
      <c r="R39" s="667" t="s">
        <v>14</v>
      </c>
      <c r="S39" s="668">
        <f t="shared" si="10"/>
        <v>100</v>
      </c>
      <c r="T39" s="667" t="s">
        <v>14</v>
      </c>
      <c r="U39" s="668">
        <f t="shared" si="11"/>
        <v>100</v>
      </c>
      <c r="V39" s="667" t="s">
        <v>14</v>
      </c>
      <c r="W39" s="668">
        <f t="shared" si="12"/>
        <v>100</v>
      </c>
      <c r="X39" s="1264"/>
      <c r="Y39" s="3408"/>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8"/>
      <c r="Q40" s="1262">
        <f t="shared" si="14"/>
        <v>111</v>
      </c>
      <c r="R40" s="669" t="s">
        <v>14</v>
      </c>
      <c r="S40" s="670">
        <f t="shared" si="10"/>
        <v>100</v>
      </c>
      <c r="T40" s="669" t="s">
        <v>14</v>
      </c>
      <c r="U40" s="670">
        <f t="shared" si="11"/>
        <v>100</v>
      </c>
      <c r="V40" s="669" t="s">
        <v>14</v>
      </c>
      <c r="W40" s="670">
        <f t="shared" si="12"/>
        <v>100</v>
      </c>
      <c r="X40" s="671"/>
      <c r="Y40" s="3408"/>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2"/>
      <c r="M41" s="2485"/>
      <c r="N41" s="2485"/>
      <c r="O41" s="2485"/>
      <c r="P41" s="3410" t="str">
        <f>A41</f>
        <v>成交单价</v>
      </c>
      <c r="Q41" s="3410"/>
      <c r="R41" s="3398">
        <f>E41</f>
        <v>0</v>
      </c>
      <c r="S41" s="3398"/>
      <c r="T41" s="3398">
        <f>G41</f>
        <v>0</v>
      </c>
      <c r="U41" s="3398"/>
      <c r="V41" s="3398">
        <f>I41</f>
        <v>0</v>
      </c>
      <c r="W41" s="3398"/>
      <c r="X41" s="385"/>
      <c r="Y41" s="673"/>
      <c r="Z41" s="385"/>
      <c r="AA41" s="385"/>
      <c r="AB41" s="385"/>
      <c r="AC41" s="385"/>
    </row>
    <row r="42" spans="1:31" ht="15" thickBot="1">
      <c r="A42" s="423" t="s">
        <v>1793</v>
      </c>
      <c r="B42" s="603"/>
      <c r="C42" s="426" t="e">
        <f>R43</f>
        <v>#DIV/0!</v>
      </c>
      <c r="D42" s="2140" t="s">
        <v>2135</v>
      </c>
      <c r="E42" s="426" t="e">
        <f>R42</f>
        <v>#DIV/0!</v>
      </c>
      <c r="F42" s="2141"/>
      <c r="G42" s="425" t="e">
        <f>T42</f>
        <v>#DIV/0!</v>
      </c>
      <c r="H42" s="2141"/>
      <c r="I42" s="426" t="e">
        <f>V42</f>
        <v>#DIV/0!</v>
      </c>
      <c r="J42" s="2141"/>
      <c r="K42" s="2143">
        <f>F42+H42+J42</f>
        <v>0</v>
      </c>
      <c r="L42" s="2492"/>
      <c r="M42" s="2485"/>
      <c r="N42" s="2485"/>
      <c r="O42" s="2485"/>
      <c r="P42" s="3410" t="str">
        <f>A42</f>
        <v>比较价值（元/平方米）</v>
      </c>
      <c r="Q42" s="3410"/>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42" t="str">
        <f>A43</f>
        <v>估价对象XX用房的比较价值（楼面单价，元/平方米）</v>
      </c>
      <c r="Q43" s="3443"/>
      <c r="R43" s="3448" t="e">
        <f>ROUND(IF(D42="简单平均",AVERAGE(R42:W42),R42*F42+T42*H42+V42*J42),0)</f>
        <v>#DIV/0!</v>
      </c>
      <c r="S43" s="3448"/>
      <c r="T43" s="3448"/>
      <c r="U43" s="3448"/>
      <c r="V43" s="3448"/>
      <c r="W43" s="344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0" t="s">
        <v>1883</v>
      </c>
      <c r="D50" s="1831" t="s">
        <v>1884</v>
      </c>
      <c r="E50" s="606" t="s">
        <v>1885</v>
      </c>
      <c r="F50" s="607" t="s">
        <v>1886</v>
      </c>
      <c r="G50" s="3385" t="s">
        <v>1887</v>
      </c>
      <c r="H50" s="3449"/>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179.5</v>
      </c>
      <c r="F51" s="611" t="e">
        <f t="shared" ref="F51:F60" si="15">ROUND(B51*E51/10000,0)</f>
        <v>#DIV/0!</v>
      </c>
      <c r="G51" s="3381"/>
      <c r="H51" s="341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4" t="s">
        <v>1896</v>
      </c>
      <c r="H56" s="834" t="str">
        <f>项目基本情况!C37</f>
        <v>四级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5" t="s">
        <v>1896</v>
      </c>
      <c r="H60" s="844" t="str">
        <f>项目基本情况!C37</f>
        <v>四级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32"/>
  <sheetViews>
    <sheetView view="pageBreakPreview" topLeftCell="B37" zoomScaleNormal="70" zoomScaleSheetLayoutView="100" workbookViewId="0">
      <selection activeCell="I115" sqref="I11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v>1805</v>
      </c>
      <c r="E1" s="3129" t="s">
        <v>3448</v>
      </c>
      <c r="F1" s="1734" t="s">
        <v>3507</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4.4000000000000004</v>
      </c>
      <c r="C3" s="344" t="s">
        <v>1665</v>
      </c>
      <c r="D3" s="343">
        <f>IF(D1="",'数据-汇总表'!E3,SUMIF('数据-汇总表'!$C19:$C33,D1,'数据-汇总表'!$E19:$E33))</f>
        <v>0</v>
      </c>
      <c r="E3" s="1804"/>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1666</v>
      </c>
      <c r="B4" s="346"/>
      <c r="C4" s="3385" t="s">
        <v>1667</v>
      </c>
      <c r="D4" s="3386"/>
      <c r="E4" s="3387" t="s">
        <v>1668</v>
      </c>
      <c r="F4" s="3388"/>
      <c r="G4" s="3385" t="s">
        <v>1669</v>
      </c>
      <c r="H4" s="3386"/>
      <c r="I4" s="3385" t="s">
        <v>1670</v>
      </c>
      <c r="J4" s="3386"/>
      <c r="K4" s="537" t="s">
        <v>1671</v>
      </c>
      <c r="L4" s="2484"/>
      <c r="M4" s="2485"/>
      <c r="N4" s="2485"/>
      <c r="O4" s="2485"/>
      <c r="P4" s="3389" t="s">
        <v>1672</v>
      </c>
      <c r="Q4" s="3390"/>
      <c r="R4" s="3368" t="s">
        <v>1668</v>
      </c>
      <c r="S4" s="3369"/>
      <c r="T4" s="3368" t="s">
        <v>1669</v>
      </c>
      <c r="U4" s="3369"/>
      <c r="V4" s="3397" t="s">
        <v>1670</v>
      </c>
      <c r="W4" s="3397"/>
      <c r="X4" s="1808"/>
      <c r="Y4" s="3368" t="s">
        <v>1672</v>
      </c>
      <c r="Z4" s="3369"/>
      <c r="AA4" s="3363" t="s">
        <v>1668</v>
      </c>
      <c r="AB4" s="3363" t="s">
        <v>1669</v>
      </c>
      <c r="AC4" s="3382" t="s">
        <v>1670</v>
      </c>
    </row>
    <row r="5" spans="1:29">
      <c r="A5" s="348"/>
      <c r="B5" s="349"/>
      <c r="C5" s="3374" t="s">
        <v>3447</v>
      </c>
      <c r="D5" s="3375"/>
      <c r="E5" s="3372" t="str">
        <f>C5</f>
        <v>高和蓝峰大厦</v>
      </c>
      <c r="F5" s="3373"/>
      <c r="G5" s="3378" t="str">
        <f>C5</f>
        <v>高和蓝峰大厦</v>
      </c>
      <c r="H5" s="3375"/>
      <c r="I5" s="3378" t="str">
        <f>C5</f>
        <v>高和蓝峰大厦</v>
      </c>
      <c r="J5" s="3375"/>
      <c r="K5" s="537"/>
      <c r="L5" s="2484"/>
      <c r="M5" s="2485"/>
      <c r="N5" s="2485"/>
      <c r="O5" s="2485"/>
      <c r="P5" s="3391"/>
      <c r="Q5" s="3392"/>
      <c r="R5" s="3370"/>
      <c r="S5" s="3371"/>
      <c r="T5" s="3370"/>
      <c r="U5" s="3371"/>
      <c r="V5" s="3398"/>
      <c r="W5" s="3398"/>
      <c r="X5" s="1264"/>
      <c r="Y5" s="3370"/>
      <c r="Z5" s="3371"/>
      <c r="AA5" s="3364"/>
      <c r="AB5" s="3364"/>
      <c r="AC5" s="3383"/>
    </row>
    <row r="6" spans="1:29" ht="15" thickBot="1">
      <c r="A6" s="350"/>
      <c r="B6" s="351"/>
      <c r="C6" s="3376" t="s">
        <v>1677</v>
      </c>
      <c r="D6" s="3377"/>
      <c r="E6" s="3379" t="s">
        <v>1677</v>
      </c>
      <c r="F6" s="3380"/>
      <c r="G6" s="3376" t="s">
        <v>1677</v>
      </c>
      <c r="H6" s="3377"/>
      <c r="I6" s="3376" t="s">
        <v>1677</v>
      </c>
      <c r="J6" s="3377"/>
      <c r="K6" s="537" t="s">
        <v>1678</v>
      </c>
      <c r="L6" s="2484"/>
      <c r="M6" s="2485"/>
      <c r="N6" s="2485"/>
      <c r="O6" s="2485"/>
      <c r="P6" s="3393"/>
      <c r="Q6" s="3394"/>
      <c r="R6" s="3370"/>
      <c r="S6" s="3371"/>
      <c r="T6" s="3395"/>
      <c r="U6" s="3396"/>
      <c r="V6" s="3398"/>
      <c r="W6" s="3398"/>
      <c r="X6" s="1264"/>
      <c r="Y6" s="3395"/>
      <c r="Z6" s="3396"/>
      <c r="AA6" s="3365"/>
      <c r="AB6" s="3365"/>
      <c r="AC6" s="3384"/>
    </row>
    <row r="7" spans="1:29" s="102" customFormat="1" ht="15" thickBot="1">
      <c r="A7" s="352" t="s">
        <v>1679</v>
      </c>
      <c r="B7" s="353"/>
      <c r="C7" s="354">
        <f>'数据-取费表'!B2</f>
        <v>45649</v>
      </c>
      <c r="D7" s="355">
        <v>100</v>
      </c>
      <c r="E7" s="356">
        <f>C7</f>
        <v>45649</v>
      </c>
      <c r="F7" s="357">
        <f>SUMIF(59:59,YEAR(E7)&amp;"-"&amp;MONTH(E7),60:60)</f>
        <v>100</v>
      </c>
      <c r="G7" s="356">
        <f>C7</f>
        <v>45649</v>
      </c>
      <c r="H7" s="355">
        <f>SUMIF(59:59,YEAR(G7)&amp;"-"&amp;MONTH(G7),60:60)</f>
        <v>100</v>
      </c>
      <c r="I7" s="356">
        <f>C7</f>
        <v>45649</v>
      </c>
      <c r="J7" s="355">
        <f>SUMIF(59:59,YEAR(I7)&amp;"-"&amp;MONTH(I7),60:60)</f>
        <v>100</v>
      </c>
      <c r="K7" s="38"/>
      <c r="L7" s="2486"/>
      <c r="M7" s="2438"/>
      <c r="N7" s="2438"/>
      <c r="O7" s="2438"/>
      <c r="P7" s="3399" t="s">
        <v>1680</v>
      </c>
      <c r="Q7" s="3400"/>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802">
        <f>D7/J7</f>
        <v>1</v>
      </c>
    </row>
    <row r="8" spans="1:29" s="102" customFormat="1" ht="15" thickBot="1">
      <c r="A8" s="352" t="s">
        <v>1681</v>
      </c>
      <c r="B8" s="353"/>
      <c r="C8" s="358" t="s">
        <v>3450</v>
      </c>
      <c r="D8" s="355">
        <v>100</v>
      </c>
      <c r="E8" s="358" t="s">
        <v>3501</v>
      </c>
      <c r="F8" s="357">
        <f>SUMIF(62:62,E8,63:63)-SUMIF(62:62,C8,63:63)+100</f>
        <v>102</v>
      </c>
      <c r="G8" s="358" t="s">
        <v>3501</v>
      </c>
      <c r="H8" s="355">
        <f>SUMIF(62:62,G8,63:63)-SUMIF(62:62,C8,63:63)+100</f>
        <v>102</v>
      </c>
      <c r="I8" s="358" t="s">
        <v>3501</v>
      </c>
      <c r="J8" s="355">
        <f>SUMIF(62:62,I8,63:63)-SUMIF(62:62,C8,63:63)+100</f>
        <v>102</v>
      </c>
      <c r="K8" s="38"/>
      <c r="L8" s="2486"/>
      <c r="M8" s="2438"/>
      <c r="N8" s="2438"/>
      <c r="O8" s="2438"/>
      <c r="P8" s="3399" t="s">
        <v>1683</v>
      </c>
      <c r="Q8" s="3367"/>
      <c r="R8" s="664" t="s">
        <v>14</v>
      </c>
      <c r="S8" s="665">
        <f t="shared" si="0"/>
        <v>102</v>
      </c>
      <c r="T8" s="664" t="s">
        <v>14</v>
      </c>
      <c r="U8" s="665">
        <f t="shared" si="1"/>
        <v>102</v>
      </c>
      <c r="V8" s="664" t="s">
        <v>14</v>
      </c>
      <c r="W8" s="665">
        <f t="shared" si="2"/>
        <v>102</v>
      </c>
      <c r="X8" s="666"/>
      <c r="Y8" s="3366" t="s">
        <v>1683</v>
      </c>
      <c r="Z8" s="3367"/>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51" t="s">
        <v>3451</v>
      </c>
      <c r="D9" s="59">
        <v>100</v>
      </c>
      <c r="E9" s="362" t="s">
        <v>3406</v>
      </c>
      <c r="F9" s="59">
        <f>SUMIF(64:64,E9,65:65)-SUMIF(64:64,C9,65:65)+100</f>
        <v>100</v>
      </c>
      <c r="G9" s="361" t="s">
        <v>3406</v>
      </c>
      <c r="H9" s="59">
        <f>SUMIF(64:64,G9,65:65)-SUMIF(64:64,C9,65:65)+100</f>
        <v>100</v>
      </c>
      <c r="I9" s="361" t="s">
        <v>3406</v>
      </c>
      <c r="J9" s="59">
        <f>SUMIF(64:64,I9,65:65)-SUMIF(64:64,C9,65:65)+100</f>
        <v>100</v>
      </c>
      <c r="K9" s="38"/>
      <c r="L9" s="2486"/>
      <c r="M9" s="2438"/>
      <c r="N9" s="2438"/>
      <c r="O9" s="2438"/>
      <c r="P9" s="338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1"/>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8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01" t="s">
        <v>1691</v>
      </c>
      <c r="Q15" s="1262" t="str">
        <f t="shared" si="6"/>
        <v>办公集聚程度</v>
      </c>
      <c r="R15" s="667" t="s">
        <v>14</v>
      </c>
      <c r="S15" s="668">
        <f t="shared" si="0"/>
        <v>100</v>
      </c>
      <c r="T15" s="667" t="s">
        <v>14</v>
      </c>
      <c r="U15" s="668">
        <f t="shared" si="1"/>
        <v>100</v>
      </c>
      <c r="V15" s="667" t="s">
        <v>14</v>
      </c>
      <c r="W15" s="668">
        <f t="shared" si="2"/>
        <v>100</v>
      </c>
      <c r="X15" s="1264"/>
      <c r="Y15" s="3403" t="s">
        <v>1691</v>
      </c>
      <c r="Z15" s="1263" t="str">
        <f t="shared" si="7"/>
        <v>办公集聚程度</v>
      </c>
      <c r="AA15" s="1263">
        <f t="shared" si="3"/>
        <v>1</v>
      </c>
      <c r="AB15" s="1263">
        <f t="shared" si="4"/>
        <v>1</v>
      </c>
      <c r="AC15" s="1811">
        <f t="shared" si="5"/>
        <v>1</v>
      </c>
    </row>
    <row r="16" spans="1:29" ht="15">
      <c r="A16" s="367"/>
      <c r="B16" s="555"/>
      <c r="C16" s="1757" t="s">
        <v>3452</v>
      </c>
      <c r="D16" s="387"/>
      <c r="E16" s="386" t="s">
        <v>3452</v>
      </c>
      <c r="F16" s="387"/>
      <c r="G16" s="1757" t="s">
        <v>3452</v>
      </c>
      <c r="H16" s="389"/>
      <c r="I16" s="386" t="s">
        <v>3452</v>
      </c>
      <c r="J16" s="387"/>
      <c r="K16" s="541"/>
      <c r="L16" s="2490"/>
      <c r="M16" s="2485"/>
      <c r="N16" s="2485"/>
      <c r="O16" s="2485"/>
      <c r="P16" s="3402"/>
      <c r="Q16" s="1262"/>
      <c r="R16" s="667"/>
      <c r="S16" s="668"/>
      <c r="T16" s="667"/>
      <c r="U16" s="668"/>
      <c r="V16" s="667"/>
      <c r="W16" s="668"/>
      <c r="X16" s="1264"/>
      <c r="Y16" s="3404"/>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02"/>
      <c r="Q17" s="1262" t="str">
        <f>B17</f>
        <v>交通便捷度</v>
      </c>
      <c r="R17" s="667" t="s">
        <v>14</v>
      </c>
      <c r="S17" s="668">
        <f>F17</f>
        <v>100</v>
      </c>
      <c r="T17" s="667" t="s">
        <v>14</v>
      </c>
      <c r="U17" s="668">
        <f>H17</f>
        <v>100</v>
      </c>
      <c r="V17" s="667" t="s">
        <v>14</v>
      </c>
      <c r="W17" s="668">
        <f>J17</f>
        <v>100</v>
      </c>
      <c r="X17" s="1264"/>
      <c r="Y17" s="3404"/>
      <c r="Z17" s="1263" t="str">
        <f>Q17</f>
        <v>交通便捷度</v>
      </c>
      <c r="AA17" s="1263">
        <f t="shared" si="3"/>
        <v>1</v>
      </c>
      <c r="AB17" s="1263">
        <f t="shared" si="4"/>
        <v>1</v>
      </c>
      <c r="AC17" s="1811">
        <f t="shared" si="5"/>
        <v>1</v>
      </c>
    </row>
    <row r="18" spans="1:29" ht="15">
      <c r="A18" s="367"/>
      <c r="B18" s="401"/>
      <c r="C18" s="1813" t="s">
        <v>3453</v>
      </c>
      <c r="D18" s="389"/>
      <c r="E18" s="1755" t="s">
        <v>3453</v>
      </c>
      <c r="F18" s="389"/>
      <c r="G18" s="1756" t="s">
        <v>3453</v>
      </c>
      <c r="H18" s="387"/>
      <c r="I18" s="1756" t="s">
        <v>3453</v>
      </c>
      <c r="J18" s="387"/>
      <c r="K18" s="541"/>
      <c r="L18" s="2490"/>
      <c r="M18" s="2485"/>
      <c r="N18" s="2485"/>
      <c r="O18" s="2485"/>
      <c r="P18" s="3402"/>
      <c r="Q18" s="1262"/>
      <c r="R18" s="667"/>
      <c r="S18" s="668"/>
      <c r="T18" s="667"/>
      <c r="U18" s="668"/>
      <c r="V18" s="667"/>
      <c r="W18" s="668"/>
      <c r="X18" s="1264"/>
      <c r="Y18" s="3404"/>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02"/>
      <c r="Q19" s="1262" t="str">
        <f>B19</f>
        <v>公共配套设施</v>
      </c>
      <c r="R19" s="667" t="s">
        <v>14</v>
      </c>
      <c r="S19" s="668">
        <f>F19</f>
        <v>100</v>
      </c>
      <c r="T19" s="667" t="s">
        <v>14</v>
      </c>
      <c r="U19" s="668">
        <f>H19</f>
        <v>100</v>
      </c>
      <c r="V19" s="667" t="s">
        <v>14</v>
      </c>
      <c r="W19" s="668">
        <f>J19</f>
        <v>100</v>
      </c>
      <c r="X19" s="1264"/>
      <c r="Y19" s="3404"/>
      <c r="Z19" s="1263" t="str">
        <f>Q19</f>
        <v>公共配套设施</v>
      </c>
      <c r="AA19" s="1263">
        <f t="shared" si="3"/>
        <v>1</v>
      </c>
      <c r="AB19" s="1263">
        <f t="shared" si="4"/>
        <v>1</v>
      </c>
      <c r="AC19" s="1811">
        <f t="shared" si="5"/>
        <v>1</v>
      </c>
    </row>
    <row r="20" spans="1:29" ht="15">
      <c r="A20" s="367"/>
      <c r="B20" s="401"/>
      <c r="C20" s="1757" t="s">
        <v>3453</v>
      </c>
      <c r="D20" s="387"/>
      <c r="E20" s="1750" t="s">
        <v>3453</v>
      </c>
      <c r="F20" s="387"/>
      <c r="G20" s="1751" t="s">
        <v>3453</v>
      </c>
      <c r="H20" s="387"/>
      <c r="I20" s="1751" t="s">
        <v>3453</v>
      </c>
      <c r="J20" s="387"/>
      <c r="K20" s="541"/>
      <c r="L20" s="2490"/>
      <c r="M20" s="2485"/>
      <c r="N20" s="2485"/>
      <c r="O20" s="2485"/>
      <c r="P20" s="3402"/>
      <c r="Q20" s="1262"/>
      <c r="R20" s="667"/>
      <c r="S20" s="668"/>
      <c r="T20" s="667"/>
      <c r="U20" s="668"/>
      <c r="V20" s="667"/>
      <c r="W20" s="668"/>
      <c r="X20" s="1264"/>
      <c r="Y20" s="3404"/>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02"/>
      <c r="Q21" s="1262" t="str">
        <f>B21</f>
        <v>基础设施水平</v>
      </c>
      <c r="R21" s="667" t="s">
        <v>14</v>
      </c>
      <c r="S21" s="668">
        <f>F21</f>
        <v>100</v>
      </c>
      <c r="T21" s="667" t="s">
        <v>14</v>
      </c>
      <c r="U21" s="668">
        <f>H21</f>
        <v>100</v>
      </c>
      <c r="V21" s="667" t="s">
        <v>14</v>
      </c>
      <c r="W21" s="668">
        <f>J21</f>
        <v>100</v>
      </c>
      <c r="X21" s="1264"/>
      <c r="Y21" s="3404"/>
      <c r="Z21" s="1263" t="str">
        <f>Q21</f>
        <v>基础设施水平</v>
      </c>
      <c r="AA21" s="1263">
        <f t="shared" ref="AA21" si="8">D21/F21</f>
        <v>1</v>
      </c>
      <c r="AB21" s="1263">
        <f t="shared" ref="AB21" si="9">D21/H21</f>
        <v>1</v>
      </c>
      <c r="AC21" s="1811">
        <f t="shared" ref="AC21" si="10">D21/J21</f>
        <v>1</v>
      </c>
    </row>
    <row r="22" spans="1:29" ht="15">
      <c r="A22" s="367"/>
      <c r="B22" s="557"/>
      <c r="C22" s="1813" t="s">
        <v>3455</v>
      </c>
      <c r="D22" s="387"/>
      <c r="E22" s="386" t="s">
        <v>3455</v>
      </c>
      <c r="F22" s="387"/>
      <c r="G22" s="1757" t="s">
        <v>3455</v>
      </c>
      <c r="H22" s="387"/>
      <c r="I22" s="1757" t="s">
        <v>3455</v>
      </c>
      <c r="J22" s="387"/>
      <c r="K22" s="1064"/>
      <c r="L22" s="2490"/>
      <c r="M22" s="2485"/>
      <c r="N22" s="2485"/>
      <c r="O22" s="2485"/>
      <c r="P22" s="3402"/>
      <c r="Q22" s="1262"/>
      <c r="R22" s="667"/>
      <c r="S22" s="668"/>
      <c r="T22" s="667"/>
      <c r="U22" s="668"/>
      <c r="V22" s="667"/>
      <c r="W22" s="668"/>
      <c r="X22" s="1264"/>
      <c r="Y22" s="3404"/>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02"/>
      <c r="Q23" s="1262" t="str">
        <f>B23</f>
        <v>环境质量</v>
      </c>
      <c r="R23" s="667" t="s">
        <v>14</v>
      </c>
      <c r="S23" s="668">
        <f>F23</f>
        <v>100</v>
      </c>
      <c r="T23" s="667" t="s">
        <v>14</v>
      </c>
      <c r="U23" s="668">
        <f>H23</f>
        <v>100</v>
      </c>
      <c r="V23" s="667" t="s">
        <v>14</v>
      </c>
      <c r="W23" s="668">
        <f>J23</f>
        <v>100</v>
      </c>
      <c r="X23" s="1264"/>
      <c r="Y23" s="3404"/>
      <c r="Z23" s="1263" t="str">
        <f>Q23</f>
        <v>环境质量</v>
      </c>
      <c r="AA23" s="1263">
        <f t="shared" si="3"/>
        <v>1</v>
      </c>
      <c r="AB23" s="1263">
        <f t="shared" si="4"/>
        <v>1</v>
      </c>
      <c r="AC23" s="1811">
        <f t="shared" si="5"/>
        <v>1</v>
      </c>
    </row>
    <row r="24" spans="1:29" ht="15">
      <c r="A24" s="367"/>
      <c r="B24" s="557"/>
      <c r="C24" s="1757" t="s">
        <v>3453</v>
      </c>
      <c r="D24" s="387"/>
      <c r="E24" s="1750" t="s">
        <v>3453</v>
      </c>
      <c r="F24" s="387"/>
      <c r="G24" s="1751" t="s">
        <v>3453</v>
      </c>
      <c r="H24" s="387"/>
      <c r="I24" s="1751" t="s">
        <v>3453</v>
      </c>
      <c r="J24" s="387"/>
      <c r="K24" s="541"/>
      <c r="L24" s="2490"/>
      <c r="M24" s="2485"/>
      <c r="N24" s="2485"/>
      <c r="O24" s="2485"/>
      <c r="P24" s="3402"/>
      <c r="Q24" s="1262"/>
      <c r="R24" s="667"/>
      <c r="S24" s="668"/>
      <c r="T24" s="667"/>
      <c r="U24" s="668"/>
      <c r="V24" s="667"/>
      <c r="W24" s="668"/>
      <c r="X24" s="1264"/>
      <c r="Y24" s="3404"/>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90"/>
      <c r="M25" s="2485"/>
      <c r="N25" s="2485"/>
      <c r="O25" s="2485"/>
      <c r="P25" s="3402"/>
      <c r="Q25" s="1262" t="str">
        <f>B25</f>
        <v>毗邻道路的类型与等级</v>
      </c>
      <c r="R25" s="667" t="s">
        <v>14</v>
      </c>
      <c r="S25" s="668">
        <f>F25</f>
        <v>100</v>
      </c>
      <c r="T25" s="667" t="s">
        <v>14</v>
      </c>
      <c r="U25" s="668">
        <f>H25</f>
        <v>100</v>
      </c>
      <c r="V25" s="667" t="s">
        <v>14</v>
      </c>
      <c r="W25" s="668">
        <f>J25</f>
        <v>100</v>
      </c>
      <c r="X25" s="1264"/>
      <c r="Y25" s="340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402"/>
      <c r="Q26" s="1262"/>
      <c r="R26" s="667"/>
      <c r="S26" s="668"/>
      <c r="T26" s="667"/>
      <c r="U26" s="668"/>
      <c r="V26" s="667"/>
      <c r="W26" s="668"/>
      <c r="X26" s="1264"/>
      <c r="Y26" s="3404"/>
      <c r="Z26" s="1263"/>
      <c r="AA26" s="1263">
        <v>1</v>
      </c>
      <c r="AB26" s="1263">
        <v>1</v>
      </c>
      <c r="AC26" s="1811">
        <v>1</v>
      </c>
    </row>
    <row r="27" spans="1:29" ht="15">
      <c r="A27" s="367"/>
      <c r="B27" s="401" t="s">
        <v>1783</v>
      </c>
      <c r="C27" s="558" t="s">
        <v>3458</v>
      </c>
      <c r="D27" s="374">
        <v>100</v>
      </c>
      <c r="E27" s="542" t="s">
        <v>3460</v>
      </c>
      <c r="F27" s="374">
        <f>SUMIF(89:89,E27,90:90)-SUMIF(89:89,C27,90:90)+100</f>
        <v>97</v>
      </c>
      <c r="G27" s="558" t="s">
        <v>3458</v>
      </c>
      <c r="H27" s="374">
        <f>SUMIF(89:89,G27,90:90)-SUMIF(89:89,C27,90:90)+100</f>
        <v>100</v>
      </c>
      <c r="I27" s="542" t="s">
        <v>3458</v>
      </c>
      <c r="J27" s="374">
        <f>SUMIF(89:89,I27,90:90)-SUMIF(89:89,C27,90:90)+100</f>
        <v>100</v>
      </c>
      <c r="K27" s="538">
        <f>'比较法-办公'!K27</f>
        <v>3</v>
      </c>
      <c r="L27" s="2490"/>
      <c r="M27" s="2485"/>
      <c r="N27" s="2485"/>
      <c r="O27" s="2485"/>
      <c r="P27" s="3402"/>
      <c r="Q27" s="1262" t="str">
        <f t="shared" ref="Q27:Q47" si="11">B27</f>
        <v>楼层</v>
      </c>
      <c r="R27" s="667" t="s">
        <v>14</v>
      </c>
      <c r="S27" s="668">
        <f>F27</f>
        <v>97</v>
      </c>
      <c r="T27" s="667" t="s">
        <v>14</v>
      </c>
      <c r="U27" s="668">
        <f>H27</f>
        <v>100</v>
      </c>
      <c r="V27" s="667" t="s">
        <v>14</v>
      </c>
      <c r="W27" s="668">
        <f>J27</f>
        <v>100</v>
      </c>
      <c r="X27" s="1264"/>
      <c r="Y27" s="3404"/>
      <c r="Z27" s="1263" t="str">
        <f>Q27</f>
        <v>楼层</v>
      </c>
      <c r="AA27" s="1263">
        <f t="shared" si="3"/>
        <v>1.0309278350515463</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02"/>
      <c r="Q28" s="530" t="str">
        <f t="shared" si="11"/>
        <v>朝向</v>
      </c>
      <c r="R28" s="664" t="s">
        <v>14</v>
      </c>
      <c r="S28" s="665">
        <f>F28</f>
        <v>100</v>
      </c>
      <c r="T28" s="664" t="s">
        <v>14</v>
      </c>
      <c r="U28" s="665">
        <f>H28</f>
        <v>100</v>
      </c>
      <c r="V28" s="664" t="s">
        <v>14</v>
      </c>
      <c r="W28" s="665">
        <f>J28</f>
        <v>100</v>
      </c>
      <c r="X28" s="666"/>
      <c r="Y28" s="3404"/>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02"/>
      <c r="Q29" s="1262">
        <f t="shared" si="11"/>
        <v>111</v>
      </c>
      <c r="R29" s="667" t="s">
        <v>14</v>
      </c>
      <c r="S29" s="668">
        <f t="shared" ref="S29:S47" si="12">F29</f>
        <v>100</v>
      </c>
      <c r="T29" s="667" t="s">
        <v>14</v>
      </c>
      <c r="U29" s="668">
        <f t="shared" ref="U29:U47" si="13">H29</f>
        <v>100</v>
      </c>
      <c r="V29" s="667" t="s">
        <v>14</v>
      </c>
      <c r="W29" s="668">
        <f t="shared" ref="W29:W47" si="14">J29</f>
        <v>100</v>
      </c>
      <c r="X29" s="1264"/>
      <c r="Y29" s="3404"/>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02"/>
      <c r="Q30" s="1262">
        <f t="shared" si="11"/>
        <v>111</v>
      </c>
      <c r="R30" s="667" t="s">
        <v>14</v>
      </c>
      <c r="S30" s="668">
        <f t="shared" si="12"/>
        <v>100</v>
      </c>
      <c r="T30" s="667" t="s">
        <v>14</v>
      </c>
      <c r="U30" s="668">
        <f t="shared" si="13"/>
        <v>100</v>
      </c>
      <c r="V30" s="667" t="s">
        <v>14</v>
      </c>
      <c r="W30" s="668">
        <f t="shared" si="14"/>
        <v>100</v>
      </c>
      <c r="X30" s="1264"/>
      <c r="Y30" s="3404"/>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02"/>
      <c r="Q31" s="1262">
        <f t="shared" si="11"/>
        <v>111</v>
      </c>
      <c r="R31" s="667" t="s">
        <v>14</v>
      </c>
      <c r="S31" s="668">
        <f t="shared" si="12"/>
        <v>100</v>
      </c>
      <c r="T31" s="667" t="s">
        <v>14</v>
      </c>
      <c r="U31" s="668">
        <f t="shared" si="13"/>
        <v>100</v>
      </c>
      <c r="V31" s="667" t="s">
        <v>14</v>
      </c>
      <c r="W31" s="668">
        <f t="shared" si="14"/>
        <v>100</v>
      </c>
      <c r="X31" s="1264"/>
      <c r="Y31" s="3404"/>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02"/>
      <c r="Q32" s="1262">
        <f t="shared" si="11"/>
        <v>111</v>
      </c>
      <c r="R32" s="667" t="s">
        <v>14</v>
      </c>
      <c r="S32" s="668">
        <f t="shared" si="12"/>
        <v>100</v>
      </c>
      <c r="T32" s="667" t="s">
        <v>14</v>
      </c>
      <c r="U32" s="668">
        <f t="shared" si="13"/>
        <v>100</v>
      </c>
      <c r="V32" s="667" t="s">
        <v>14</v>
      </c>
      <c r="W32" s="668">
        <f t="shared" si="14"/>
        <v>100</v>
      </c>
      <c r="X32" s="1264"/>
      <c r="Y32" s="3404"/>
      <c r="Z32" s="1263">
        <f t="shared" si="15"/>
        <v>111</v>
      </c>
      <c r="AA32" s="1263">
        <f t="shared" si="3"/>
        <v>1</v>
      </c>
      <c r="AB32" s="1263">
        <f t="shared" si="4"/>
        <v>1</v>
      </c>
      <c r="AC32" s="1811">
        <f t="shared" si="5"/>
        <v>1</v>
      </c>
    </row>
    <row r="33" spans="1:29" ht="15">
      <c r="A33" s="379" t="s">
        <v>1694</v>
      </c>
      <c r="B33" s="60" t="s">
        <v>1817</v>
      </c>
      <c r="C33" s="1763" t="s">
        <v>3482</v>
      </c>
      <c r="D33" s="405">
        <v>100</v>
      </c>
      <c r="E33" s="1763" t="s">
        <v>3482</v>
      </c>
      <c r="F33" s="400">
        <f>SUMIF(101:101,E33,102:102)-SUMIF(101:101,C33,102:102)+100</f>
        <v>100</v>
      </c>
      <c r="G33" s="1763" t="s">
        <v>3482</v>
      </c>
      <c r="H33" s="374">
        <f>SUMIF(101:101,G33,102:102)-SUMIF(101:101,C33,102:102)+100</f>
        <v>100</v>
      </c>
      <c r="I33" s="1763" t="s">
        <v>3482</v>
      </c>
      <c r="J33" s="405">
        <f>SUMIF(101:101,I33,102:102)-SUMIF(101:101,C33,102:102)+100</f>
        <v>100</v>
      </c>
      <c r="K33" s="538">
        <v>5</v>
      </c>
      <c r="L33" s="2490"/>
      <c r="M33" s="2485"/>
      <c r="N33" s="2485"/>
      <c r="O33" s="2485"/>
      <c r="P33" s="3405" t="s">
        <v>1696</v>
      </c>
      <c r="Q33" s="1262" t="str">
        <f t="shared" si="11"/>
        <v>建筑类型</v>
      </c>
      <c r="R33" s="667" t="s">
        <v>14</v>
      </c>
      <c r="S33" s="668">
        <f t="shared" si="12"/>
        <v>100</v>
      </c>
      <c r="T33" s="667" t="s">
        <v>14</v>
      </c>
      <c r="U33" s="668">
        <f t="shared" si="13"/>
        <v>100</v>
      </c>
      <c r="V33" s="667" t="s">
        <v>14</v>
      </c>
      <c r="W33" s="668">
        <f t="shared" si="14"/>
        <v>100</v>
      </c>
      <c r="X33" s="1264"/>
      <c r="Y33" s="3408"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179.5</v>
      </c>
      <c r="D34" s="119">
        <v>100</v>
      </c>
      <c r="E34" s="369">
        <f>案例!M54</f>
        <v>148</v>
      </c>
      <c r="F34" s="364">
        <f>LOOKUP(E34,104:104,105:105)-LOOKUP(C34,104:104,105:105)+100</f>
        <v>100</v>
      </c>
      <c r="G34" s="368">
        <f>案例!M55</f>
        <v>173.24</v>
      </c>
      <c r="H34" s="119">
        <f>LOOKUP(G34,104:104,105:105)-LOOKUP(C34,104:104,105:105)+100</f>
        <v>100</v>
      </c>
      <c r="I34" s="368">
        <f>案例!M56</f>
        <v>152.43</v>
      </c>
      <c r="J34" s="119">
        <f>LOOKUP(I34,104:104,105:105)-LOOKUP(C34,104:104,105:105)+100</f>
        <v>100</v>
      </c>
      <c r="K34" s="539"/>
      <c r="L34" s="2489"/>
      <c r="M34" s="2491"/>
      <c r="N34" s="2491"/>
      <c r="O34" s="2491"/>
      <c r="P34" s="3406"/>
      <c r="Q34" s="531" t="str">
        <f t="shared" si="11"/>
        <v>项目建筑规模</v>
      </c>
      <c r="R34" s="669" t="s">
        <v>14</v>
      </c>
      <c r="S34" s="670">
        <f t="shared" si="12"/>
        <v>100</v>
      </c>
      <c r="T34" s="669" t="s">
        <v>14</v>
      </c>
      <c r="U34" s="670">
        <f t="shared" si="13"/>
        <v>100</v>
      </c>
      <c r="V34" s="669" t="s">
        <v>14</v>
      </c>
      <c r="W34" s="670">
        <f t="shared" si="14"/>
        <v>100</v>
      </c>
      <c r="X34" s="671"/>
      <c r="Y34" s="3408"/>
      <c r="Z34" s="672" t="str">
        <f t="shared" si="15"/>
        <v>项目建筑规模</v>
      </c>
      <c r="AA34" s="1263">
        <f t="shared" si="3"/>
        <v>1</v>
      </c>
      <c r="AB34" s="1263">
        <f t="shared" si="4"/>
        <v>1</v>
      </c>
      <c r="AC34" s="1811">
        <f t="shared" si="5"/>
        <v>1</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0"/>
      <c r="M35" s="2485"/>
      <c r="N35" s="2485"/>
      <c r="O35" s="2485"/>
      <c r="P35" s="3406"/>
      <c r="Q35" s="1262" t="str">
        <f t="shared" si="11"/>
        <v>建筑结构</v>
      </c>
      <c r="R35" s="667" t="s">
        <v>14</v>
      </c>
      <c r="S35" s="668">
        <f t="shared" si="12"/>
        <v>100</v>
      </c>
      <c r="T35" s="667" t="s">
        <v>14</v>
      </c>
      <c r="U35" s="668">
        <f t="shared" si="13"/>
        <v>100</v>
      </c>
      <c r="V35" s="667" t="s">
        <v>14</v>
      </c>
      <c r="W35" s="668">
        <f t="shared" si="14"/>
        <v>100</v>
      </c>
      <c r="X35" s="1264"/>
      <c r="Y35" s="3408"/>
      <c r="Z35" s="1263" t="str">
        <f t="shared" si="15"/>
        <v>建筑结构</v>
      </c>
      <c r="AA35" s="1263">
        <f t="shared" si="3"/>
        <v>1</v>
      </c>
      <c r="AB35" s="1263">
        <f t="shared" si="4"/>
        <v>1</v>
      </c>
      <c r="AC35" s="1811">
        <f t="shared" si="5"/>
        <v>1</v>
      </c>
    </row>
    <row r="36" spans="1:29" ht="15">
      <c r="A36" s="409"/>
      <c r="B36" s="364" t="s">
        <v>1785</v>
      </c>
      <c r="C36" s="399" t="s">
        <v>3494</v>
      </c>
      <c r="D36" s="374">
        <v>100</v>
      </c>
      <c r="E36" s="399" t="s">
        <v>3494</v>
      </c>
      <c r="F36" s="400">
        <f>SUMIF(108:108,E36,109:109)-SUMIF(108:108,C36,109:109)+100</f>
        <v>100</v>
      </c>
      <c r="G36" s="399" t="s">
        <v>3494</v>
      </c>
      <c r="H36" s="374">
        <f>SUMIF(108:108,G36,109:109)-SUMIF(108:108,C36,109:109)+100</f>
        <v>100</v>
      </c>
      <c r="I36" s="399" t="s">
        <v>3494</v>
      </c>
      <c r="J36" s="374">
        <f>SUMIF(108:108,I36,109:109)-SUMIF(108:108,C36,109:109)+100</f>
        <v>100</v>
      </c>
      <c r="K36" s="538">
        <v>2</v>
      </c>
      <c r="L36" s="2490"/>
      <c r="M36" s="2485"/>
      <c r="N36" s="2485"/>
      <c r="O36" s="2485"/>
      <c r="P36" s="3406"/>
      <c r="Q36" s="1262" t="str">
        <f t="shared" si="11"/>
        <v>公共部分装修</v>
      </c>
      <c r="R36" s="667" t="s">
        <v>14</v>
      </c>
      <c r="S36" s="668">
        <f t="shared" si="12"/>
        <v>100</v>
      </c>
      <c r="T36" s="667" t="s">
        <v>14</v>
      </c>
      <c r="U36" s="668">
        <f t="shared" si="13"/>
        <v>100</v>
      </c>
      <c r="V36" s="667" t="s">
        <v>14</v>
      </c>
      <c r="W36" s="668">
        <f t="shared" si="14"/>
        <v>100</v>
      </c>
      <c r="X36" s="1264"/>
      <c r="Y36" s="3408"/>
      <c r="Z36" s="1263" t="str">
        <f t="shared" si="15"/>
        <v>公共部分装修</v>
      </c>
      <c r="AA36" s="1263">
        <f t="shared" si="3"/>
        <v>1</v>
      </c>
      <c r="AB36" s="1263">
        <f t="shared" si="4"/>
        <v>1</v>
      </c>
      <c r="AC36" s="1811">
        <f t="shared" si="5"/>
        <v>1</v>
      </c>
    </row>
    <row r="37" spans="1:29" ht="15">
      <c r="A37" s="409"/>
      <c r="B37" s="364" t="s">
        <v>1786</v>
      </c>
      <c r="C37" s="411">
        <f>'数据-取费表'!N6</f>
        <v>0.76</v>
      </c>
      <c r="D37" s="374">
        <v>100</v>
      </c>
      <c r="E37" s="411">
        <f>C37</f>
        <v>0.76</v>
      </c>
      <c r="F37" s="400">
        <f>LOOKUP(E37,111:111,112:112)-LOOKUP(C37,111:111,112:112)+100</f>
        <v>100</v>
      </c>
      <c r="G37" s="411">
        <f>C37</f>
        <v>0.76</v>
      </c>
      <c r="H37" s="400">
        <f>LOOKUP(G37,111:111,112:112)-LOOKUP(C37,111:111,112:112)+100</f>
        <v>100</v>
      </c>
      <c r="I37" s="411">
        <f>C37</f>
        <v>0.76</v>
      </c>
      <c r="J37" s="374">
        <f>LOOKUP(I37,111:111,112:112)-LOOKUP(C37,111:111,112:112)+100</f>
        <v>100</v>
      </c>
      <c r="K37" s="538">
        <v>1</v>
      </c>
      <c r="L37" s="2490"/>
      <c r="M37" s="2485"/>
      <c r="N37" s="2485"/>
      <c r="O37" s="2485"/>
      <c r="P37" s="3406"/>
      <c r="Q37" s="1262" t="str">
        <f t="shared" si="11"/>
        <v>成新度</v>
      </c>
      <c r="R37" s="667" t="s">
        <v>14</v>
      </c>
      <c r="S37" s="668">
        <f t="shared" si="12"/>
        <v>100</v>
      </c>
      <c r="T37" s="667" t="s">
        <v>14</v>
      </c>
      <c r="U37" s="668">
        <f t="shared" si="13"/>
        <v>100</v>
      </c>
      <c r="V37" s="667" t="s">
        <v>14</v>
      </c>
      <c r="W37" s="668">
        <f t="shared" si="14"/>
        <v>100</v>
      </c>
      <c r="X37" s="1264"/>
      <c r="Y37" s="3408"/>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
      <c r="A39" s="409"/>
      <c r="B39" s="364" t="s">
        <v>1819</v>
      </c>
      <c r="C39" s="399" t="s">
        <v>3485</v>
      </c>
      <c r="D39" s="374">
        <v>100</v>
      </c>
      <c r="E39" s="399" t="s">
        <v>3485</v>
      </c>
      <c r="F39" s="400">
        <f>SUMIF(115:115,E39,116:116)-SUMIF(115:115,C39,116:116)+100</f>
        <v>100</v>
      </c>
      <c r="G39" s="399" t="s">
        <v>3485</v>
      </c>
      <c r="H39" s="374">
        <f>SUMIF(115:115,G39,116:116)-SUMIF(115:115,C39,116:116)+100</f>
        <v>100</v>
      </c>
      <c r="I39" s="399" t="s">
        <v>3485</v>
      </c>
      <c r="J39" s="374">
        <f>SUMIF(115:115,I39,116:116)-SUMIF(115:115,C39,116:116)+100</f>
        <v>100</v>
      </c>
      <c r="K39" s="538">
        <v>2</v>
      </c>
      <c r="L39" s="2490"/>
      <c r="M39" s="2485"/>
      <c r="N39" s="2485"/>
      <c r="O39" s="2485"/>
      <c r="P39" s="3406" t="s">
        <v>1696</v>
      </c>
      <c r="Q39" s="1262" t="str">
        <f t="shared" si="11"/>
        <v>物业管理</v>
      </c>
      <c r="R39" s="667" t="s">
        <v>14</v>
      </c>
      <c r="S39" s="668">
        <f t="shared" si="12"/>
        <v>100</v>
      </c>
      <c r="T39" s="667" t="s">
        <v>14</v>
      </c>
      <c r="U39" s="668">
        <f t="shared" si="13"/>
        <v>100</v>
      </c>
      <c r="V39" s="667" t="s">
        <v>14</v>
      </c>
      <c r="W39" s="668">
        <f t="shared" si="14"/>
        <v>100</v>
      </c>
      <c r="X39" s="1264"/>
      <c r="Y39" s="3408" t="s">
        <v>1696</v>
      </c>
      <c r="Z39" s="1263" t="str">
        <f t="shared" si="15"/>
        <v>物业管理</v>
      </c>
      <c r="AA39" s="1263">
        <f t="shared" si="3"/>
        <v>1</v>
      </c>
      <c r="AB39" s="1263">
        <f t="shared" si="4"/>
        <v>1</v>
      </c>
      <c r="AC39" s="1811">
        <f t="shared" si="5"/>
        <v>1</v>
      </c>
    </row>
    <row r="40" spans="1:29" ht="15">
      <c r="A40" s="409"/>
      <c r="B40" s="364" t="s">
        <v>1787</v>
      </c>
      <c r="C40" s="399" t="s">
        <v>3454</v>
      </c>
      <c r="D40" s="374">
        <v>100</v>
      </c>
      <c r="E40" s="399" t="s">
        <v>3454</v>
      </c>
      <c r="F40" s="400">
        <f>SUMIF(117:117,E40,118:118)-SUMIF(117:117,C40,118:118)+100</f>
        <v>100</v>
      </c>
      <c r="G40" s="399" t="s">
        <v>3454</v>
      </c>
      <c r="H40" s="374">
        <f>SUMIF(117:117,G40,118:118)-SUMIF(117:117,C40,118:118)+100</f>
        <v>100</v>
      </c>
      <c r="I40" s="399" t="s">
        <v>3454</v>
      </c>
      <c r="J40" s="374">
        <f>SUMIF(117:117,I40,118:118)-SUMIF(117:117,C40,118:118)+100</f>
        <v>100</v>
      </c>
      <c r="K40" s="538">
        <v>1</v>
      </c>
      <c r="L40" s="2490"/>
      <c r="M40" s="2485"/>
      <c r="N40" s="2485"/>
      <c r="O40" s="2485"/>
      <c r="P40" s="3406"/>
      <c r="Q40" s="1262" t="str">
        <f t="shared" si="11"/>
        <v>市政基础设施</v>
      </c>
      <c r="R40" s="667" t="s">
        <v>14</v>
      </c>
      <c r="S40" s="668">
        <f t="shared" si="12"/>
        <v>100</v>
      </c>
      <c r="T40" s="667" t="s">
        <v>14</v>
      </c>
      <c r="U40" s="668">
        <f t="shared" si="13"/>
        <v>100</v>
      </c>
      <c r="V40" s="667" t="s">
        <v>14</v>
      </c>
      <c r="W40" s="668">
        <f t="shared" si="14"/>
        <v>100</v>
      </c>
      <c r="X40" s="1264"/>
      <c r="Y40" s="3408"/>
      <c r="Z40" s="1263" t="str">
        <f t="shared" si="15"/>
        <v>市政基础设施</v>
      </c>
      <c r="AA40" s="1263">
        <f t="shared" si="3"/>
        <v>1</v>
      </c>
      <c r="AB40" s="1263">
        <f t="shared" si="4"/>
        <v>1</v>
      </c>
      <c r="AC40" s="1811">
        <f t="shared" si="5"/>
        <v>1</v>
      </c>
    </row>
    <row r="41" spans="1:29" ht="15">
      <c r="A41" s="409"/>
      <c r="B41" s="364" t="s">
        <v>1789</v>
      </c>
      <c r="C41" s="542" t="s">
        <v>3492</v>
      </c>
      <c r="D41" s="374">
        <v>100</v>
      </c>
      <c r="E41" s="542" t="s">
        <v>3492</v>
      </c>
      <c r="F41" s="400">
        <f>SUMIF(119:119,E41,120:120)-SUMIF(119:119,C41,120:120)+100</f>
        <v>100</v>
      </c>
      <c r="G41" s="542" t="s">
        <v>3492</v>
      </c>
      <c r="H41" s="374">
        <f>SUMIF(119:119,G41,120:120)-SUMIF(119:119,C41,120:120)+100</f>
        <v>100</v>
      </c>
      <c r="I41" s="542" t="s">
        <v>3492</v>
      </c>
      <c r="J41" s="374">
        <f>SUMIF(119:119,I41,120:120)-SUMIF(119:119,C41,120:120)+100</f>
        <v>100</v>
      </c>
      <c r="K41" s="538">
        <v>5</v>
      </c>
      <c r="L41" s="2490"/>
      <c r="M41" s="2485"/>
      <c r="N41" s="2485"/>
      <c r="O41" s="2485"/>
      <c r="P41" s="3406"/>
      <c r="Q41" s="1262" t="str">
        <f t="shared" si="11"/>
        <v>层高</v>
      </c>
      <c r="R41" s="667" t="s">
        <v>14</v>
      </c>
      <c r="S41" s="668">
        <f t="shared" si="12"/>
        <v>100</v>
      </c>
      <c r="T41" s="667" t="s">
        <v>14</v>
      </c>
      <c r="U41" s="668">
        <f t="shared" si="13"/>
        <v>100</v>
      </c>
      <c r="V41" s="667" t="s">
        <v>14</v>
      </c>
      <c r="W41" s="668">
        <f t="shared" si="14"/>
        <v>100</v>
      </c>
      <c r="X41" s="1264"/>
      <c r="Y41" s="3408"/>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3">
        <f t="shared" si="3"/>
        <v>1</v>
      </c>
      <c r="AB42" s="1263">
        <f t="shared" si="4"/>
        <v>1</v>
      </c>
      <c r="AC42" s="1811">
        <f t="shared" si="5"/>
        <v>1</v>
      </c>
    </row>
    <row r="43" spans="1:29" ht="15">
      <c r="A43" s="409"/>
      <c r="B43" s="364" t="s">
        <v>1792</v>
      </c>
      <c r="C43" s="399" t="s">
        <v>3496</v>
      </c>
      <c r="D43" s="374">
        <v>100</v>
      </c>
      <c r="E43" s="399" t="s">
        <v>3494</v>
      </c>
      <c r="F43" s="400">
        <f>SUMIF(123:123,E43,124:124)-SUMIF(123:123,C43,124:124)+100</f>
        <v>102</v>
      </c>
      <c r="G43" s="399" t="s">
        <v>3494</v>
      </c>
      <c r="H43" s="374">
        <f>SUMIF(123:123,G43,124:124)-SUMIF(123:123,C43,124:124)+100</f>
        <v>102</v>
      </c>
      <c r="I43" s="399" t="s">
        <v>3494</v>
      </c>
      <c r="J43" s="374">
        <f>SUMIF(123:123,I43,124:124)-SUMIF(123:123,C43,124:124)+100</f>
        <v>102</v>
      </c>
      <c r="K43" s="538">
        <v>2</v>
      </c>
      <c r="L43" s="2490"/>
      <c r="M43" s="2485"/>
      <c r="N43" s="2485"/>
      <c r="O43" s="2485"/>
      <c r="P43" s="3406"/>
      <c r="Q43" s="1262" t="str">
        <f t="shared" si="11"/>
        <v>内部装修</v>
      </c>
      <c r="R43" s="667" t="s">
        <v>14</v>
      </c>
      <c r="S43" s="668">
        <f t="shared" si="12"/>
        <v>102</v>
      </c>
      <c r="T43" s="667" t="s">
        <v>14</v>
      </c>
      <c r="U43" s="668">
        <f t="shared" si="13"/>
        <v>102</v>
      </c>
      <c r="V43" s="667" t="s">
        <v>14</v>
      </c>
      <c r="W43" s="668">
        <f t="shared" si="14"/>
        <v>102</v>
      </c>
      <c r="X43" s="1264"/>
      <c r="Y43" s="3408"/>
      <c r="Z43" s="1263" t="str">
        <f t="shared" si="15"/>
        <v>内部装修</v>
      </c>
      <c r="AA43" s="1263">
        <f t="shared" si="3"/>
        <v>0.98039215686274506</v>
      </c>
      <c r="AB43" s="1263">
        <f t="shared" si="4"/>
        <v>0.98039215686274506</v>
      </c>
      <c r="AC43" s="1811">
        <f t="shared" si="5"/>
        <v>0.98039215686274506</v>
      </c>
    </row>
    <row r="44" spans="1:29" ht="28.8">
      <c r="A44" s="409"/>
      <c r="B44" s="364" t="s">
        <v>1707</v>
      </c>
      <c r="C44" s="399" t="s">
        <v>3453</v>
      </c>
      <c r="D44" s="374">
        <v>100</v>
      </c>
      <c r="E44" s="1759" t="s">
        <v>3453</v>
      </c>
      <c r="F44" s="400">
        <f>SUMIF(125:125,E44,126:126)-SUMIF(125:125,C44,126:126)+100</f>
        <v>100</v>
      </c>
      <c r="G44" s="1759" t="s">
        <v>3453</v>
      </c>
      <c r="H44" s="374">
        <f>SUMIF(125:125,G44,126:126)-SUMIF(125:125,C44,126:126)+100</f>
        <v>100</v>
      </c>
      <c r="I44" s="1759" t="s">
        <v>3453</v>
      </c>
      <c r="J44" s="374">
        <f>SUMIF(125:125,I44,126:126)-SUMIF(125:125,C44,126:126)+100</f>
        <v>100</v>
      </c>
      <c r="K44" s="538">
        <v>2</v>
      </c>
      <c r="L44" s="2490"/>
      <c r="M44" s="2485"/>
      <c r="N44" s="2485"/>
      <c r="O44" s="2485"/>
      <c r="P44" s="3406"/>
      <c r="Q44" s="1262" t="str">
        <f t="shared" si="11"/>
        <v>内部装修维护情况</v>
      </c>
      <c r="R44" s="667" t="s">
        <v>14</v>
      </c>
      <c r="S44" s="668">
        <f t="shared" si="12"/>
        <v>100</v>
      </c>
      <c r="T44" s="667" t="s">
        <v>14</v>
      </c>
      <c r="U44" s="668">
        <f t="shared" si="13"/>
        <v>100</v>
      </c>
      <c r="V44" s="667" t="s">
        <v>14</v>
      </c>
      <c r="W44" s="668">
        <f t="shared" si="14"/>
        <v>100</v>
      </c>
      <c r="X44" s="1264"/>
      <c r="Y44" s="3408"/>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6"/>
      <c r="Q46" s="1262">
        <f t="shared" si="11"/>
        <v>111</v>
      </c>
      <c r="R46" s="667" t="s">
        <v>14</v>
      </c>
      <c r="S46" s="668">
        <f t="shared" si="12"/>
        <v>100</v>
      </c>
      <c r="T46" s="667" t="s">
        <v>14</v>
      </c>
      <c r="U46" s="668">
        <f t="shared" si="13"/>
        <v>100</v>
      </c>
      <c r="V46" s="667" t="s">
        <v>14</v>
      </c>
      <c r="W46" s="668">
        <f t="shared" si="14"/>
        <v>100</v>
      </c>
      <c r="X46" s="1264"/>
      <c r="Y46" s="3408"/>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7"/>
      <c r="Q47" s="1262">
        <f t="shared" si="11"/>
        <v>111</v>
      </c>
      <c r="R47" s="667" t="s">
        <v>14</v>
      </c>
      <c r="S47" s="668">
        <f t="shared" si="12"/>
        <v>100</v>
      </c>
      <c r="T47" s="667" t="s">
        <v>14</v>
      </c>
      <c r="U47" s="668">
        <f t="shared" si="13"/>
        <v>100</v>
      </c>
      <c r="V47" s="667" t="s">
        <v>14</v>
      </c>
      <c r="W47" s="668">
        <f t="shared" si="14"/>
        <v>100</v>
      </c>
      <c r="X47" s="1264"/>
      <c r="Y47" s="3409"/>
      <c r="Z47" s="1263">
        <f t="shared" si="15"/>
        <v>111</v>
      </c>
      <c r="AA47" s="1263">
        <f t="shared" si="3"/>
        <v>1</v>
      </c>
      <c r="AB47" s="1263">
        <f t="shared" si="4"/>
        <v>1</v>
      </c>
      <c r="AC47" s="1811">
        <f t="shared" si="5"/>
        <v>1</v>
      </c>
    </row>
    <row r="48" spans="1:29" ht="14.4">
      <c r="A48" s="416" t="s">
        <v>1708</v>
      </c>
      <c r="B48" s="417"/>
      <c r="C48" s="1081" t="s">
        <v>0</v>
      </c>
      <c r="D48" s="418"/>
      <c r="E48" s="419">
        <f>案例!N54</f>
        <v>4.5</v>
      </c>
      <c r="F48" s="420"/>
      <c r="G48" s="421">
        <f>案例!N55</f>
        <v>4.5</v>
      </c>
      <c r="H48" s="422"/>
      <c r="I48" s="419">
        <f>案例!N56</f>
        <v>4.5</v>
      </c>
      <c r="J48" s="422"/>
      <c r="K48" s="674"/>
      <c r="L48" s="2492"/>
      <c r="M48" s="2485"/>
      <c r="N48" s="2485"/>
      <c r="O48" s="2485"/>
      <c r="P48" s="3381" t="str">
        <f>A48</f>
        <v>成交单价（元/平方米）</v>
      </c>
      <c r="Q48" s="3410"/>
      <c r="R48" s="3398">
        <f>E48</f>
        <v>4.5</v>
      </c>
      <c r="S48" s="3398"/>
      <c r="T48" s="3398">
        <f>G48</f>
        <v>4.5</v>
      </c>
      <c r="U48" s="3398"/>
      <c r="V48" s="3398">
        <f>I48</f>
        <v>4.5</v>
      </c>
      <c r="W48" s="3398"/>
      <c r="X48" s="385"/>
      <c r="Y48" s="673"/>
      <c r="Z48" s="385"/>
      <c r="AA48" s="385"/>
      <c r="AB48" s="385"/>
      <c r="AC48" s="555"/>
    </row>
    <row r="49" spans="1:29" ht="15" thickBot="1">
      <c r="A49" s="423" t="s">
        <v>1709</v>
      </c>
      <c r="B49" s="424"/>
      <c r="C49" s="1082">
        <f>R50</f>
        <v>4.4000000000000004</v>
      </c>
      <c r="D49" s="2140" t="s">
        <v>2135</v>
      </c>
      <c r="E49" s="1083">
        <f>R49</f>
        <v>4.5</v>
      </c>
      <c r="F49" s="2141"/>
      <c r="G49" s="1082">
        <f>T49</f>
        <v>4.3</v>
      </c>
      <c r="H49" s="2141"/>
      <c r="I49" s="1083">
        <f>V49</f>
        <v>4.3</v>
      </c>
      <c r="J49" s="2141"/>
      <c r="K49" s="2143">
        <f>F49+H49+J49</f>
        <v>0</v>
      </c>
      <c r="L49" s="2492"/>
      <c r="M49" s="2485"/>
      <c r="N49" s="2485"/>
      <c r="O49" s="2485"/>
      <c r="P49" s="3381" t="str">
        <f>A49</f>
        <v>比较价值（元/平方米）</v>
      </c>
      <c r="Q49" s="3410"/>
      <c r="R49" s="3398">
        <f>IF(F1="售价",ROUND(PRODUCT(R48,AA7:AA47),0),ROUND(PRODUCT(R48,AA7:AA47),1))</f>
        <v>4.5</v>
      </c>
      <c r="S49" s="3398"/>
      <c r="T49" s="3398">
        <f>IF(F1="售价",ROUND(PRODUCT(T48,AB7:AB47),0),ROUND(PRODUCT(T48,AB7:AB47),1))</f>
        <v>4.3</v>
      </c>
      <c r="U49" s="3398"/>
      <c r="V49" s="3398">
        <f>IF(F1="售价",ROUND(PRODUCT(V48,AC7:AC47),0),ROUND(PRODUCT(V48,AC7:AC47),1))</f>
        <v>4.3</v>
      </c>
      <c r="W49" s="3398"/>
      <c r="X49" s="385"/>
      <c r="Y49" s="385"/>
      <c r="Z49" s="385"/>
      <c r="AA49" s="385"/>
      <c r="AB49" s="385"/>
      <c r="AC49" s="555"/>
    </row>
    <row r="50" spans="1:29" ht="15" thickBot="1">
      <c r="A50" s="427" t="s">
        <v>1710</v>
      </c>
      <c r="B50" s="428"/>
      <c r="C50" s="351">
        <f>R50</f>
        <v>4.4000000000000004</v>
      </c>
      <c r="D50" s="351"/>
      <c r="E50" s="351"/>
      <c r="F50" s="351"/>
      <c r="G50" s="351"/>
      <c r="H50" s="351"/>
      <c r="I50" s="351"/>
      <c r="J50" s="429"/>
      <c r="K50" s="675"/>
      <c r="L50" s="2492"/>
      <c r="M50" s="2485"/>
      <c r="N50" s="2485"/>
      <c r="O50" s="2485"/>
      <c r="P50" s="3411" t="str">
        <f>A50</f>
        <v>估价对象XX用房的比较价值（楼面单价，元/平方米）</v>
      </c>
      <c r="Q50" s="3412"/>
      <c r="R50" s="3413">
        <f>IF(F1="售价",ROUND(IF(D49="简单平均",AVERAGE(R49:V49),R49*F49+T49*H49+V49*J49),0),ROUND(IF(D49="简单平均",AVERAGE(R49:V49),R49*F49+T49*H49+V49*J49),1))</f>
        <v>4.4000000000000004</v>
      </c>
      <c r="S50" s="3413"/>
      <c r="T50" s="3413"/>
      <c r="U50" s="3413"/>
      <c r="V50" s="3413"/>
      <c r="W50" s="3413"/>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0</v>
      </c>
      <c r="F53" s="435" t="str">
        <f>IF(OR(E53&gt;=0.3,E53&lt;=-0.3),"超过30%","")</f>
        <v/>
      </c>
      <c r="G53" s="434">
        <f>IF(G48&lt;G49,G49/G48-1,G48/G49-1)</f>
        <v>4.6511627906976827E-2</v>
      </c>
      <c r="H53" s="435" t="str">
        <f>IF(OR(G53&gt;=0.3,G53&lt;=-0.3),"超过30%","")</f>
        <v/>
      </c>
      <c r="I53" s="434">
        <f>IF(I48&lt;I49,I49/I48-1,I48/I49-1)</f>
        <v>4.6511627906976827E-2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4.6511627906976827E-2</v>
      </c>
      <c r="F54" s="435" t="str">
        <f>IF(OR(E54&gt;=0.2,E54&lt;=-0.2),"超过20%","")</f>
        <v/>
      </c>
      <c r="G54" s="434">
        <f>IF(G49&lt;I49,I49/G49-1,G49/I49-1)</f>
        <v>0</v>
      </c>
      <c r="H54" s="435" t="str">
        <f>IF(OR(G54&gt;=0.2,G54&lt;=-0.2),"超过20%","")</f>
        <v/>
      </c>
      <c r="I54" s="434">
        <f>IF(I49&lt;E49,E49/I49-1,I49/E49-1)</f>
        <v>4.6511627906976827E-2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1718</v>
      </c>
      <c r="D62" s="3156" t="s">
        <v>3502</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综合</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4" t="s">
        <v>3503</v>
      </c>
      <c r="D89" s="3154" t="s">
        <v>3504</v>
      </c>
      <c r="E89" s="3154" t="s">
        <v>3505</v>
      </c>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3" t="s">
        <v>3483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3">D104&amp;"(含)"&amp;"-"&amp;E104</f>
        <v>100(含)-300</v>
      </c>
      <c r="E103" s="509" t="str">
        <f t="shared" si="23"/>
        <v>300(含)-500</v>
      </c>
      <c r="F103" s="509" t="str">
        <f t="shared" si="23"/>
        <v>500(含)-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98</v>
      </c>
      <c r="D105" s="467">
        <v>99</v>
      </c>
      <c r="E105" s="467">
        <v>100</v>
      </c>
      <c r="F105" s="467">
        <f t="shared" ref="F105" si="24">E105-1</f>
        <v>99</v>
      </c>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4" t="s">
        <v>3484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4" t="s">
        <v>3495</v>
      </c>
      <c r="D108" s="3154" t="s">
        <v>3497</v>
      </c>
      <c r="E108" s="3154" t="s">
        <v>3499</v>
      </c>
      <c r="F108" s="3155" t="s">
        <v>3500</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4" t="s">
        <v>3486</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4" t="s">
        <v>3487</v>
      </c>
      <c r="D117" s="3154" t="s">
        <v>3488</v>
      </c>
      <c r="E117" s="3154" t="s">
        <v>3489</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5" t="s">
        <v>3491</v>
      </c>
      <c r="D119" s="3155" t="s">
        <v>3493</v>
      </c>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4" t="s">
        <v>3495</v>
      </c>
      <c r="D123" s="3154" t="s">
        <v>3497</v>
      </c>
      <c r="E123" s="3154" t="s">
        <v>3499</v>
      </c>
      <c r="F123" s="3155" t="s">
        <v>3500</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21" priority="14" stopIfTrue="1">
      <formula>$F$53="超过30%"</formula>
    </cfRule>
  </conditionalFormatting>
  <conditionalFormatting sqref="E54">
    <cfRule type="expression" dxfId="20" priority="13" stopIfTrue="1">
      <formula>$F$54="超过20%"</formula>
    </cfRule>
  </conditionalFormatting>
  <conditionalFormatting sqref="E55">
    <cfRule type="expression" dxfId="19" priority="12" stopIfTrue="1">
      <formula>$F$55="超过30%"</formula>
    </cfRule>
  </conditionalFormatting>
  <conditionalFormatting sqref="F7:F47 H7:H47 J7:J47">
    <cfRule type="cellIs" dxfId="18" priority="1" operator="notEqual">
      <formula>100</formula>
    </cfRule>
  </conditionalFormatting>
  <conditionalFormatting sqref="F49">
    <cfRule type="expression" dxfId="17" priority="4">
      <formula>$D$49="简单平均"</formula>
    </cfRule>
  </conditionalFormatting>
  <conditionalFormatting sqref="F53:F55 H53:H55">
    <cfRule type="containsText" dxfId="16" priority="15" stopIfTrue="1" operator="containsText" text="超过">
      <formula>NOT(ISERROR(SEARCH("超过",F53)))</formula>
    </cfRule>
  </conditionalFormatting>
  <conditionalFormatting sqref="G53">
    <cfRule type="expression" dxfId="15" priority="10" stopIfTrue="1">
      <formula>$H$53="超过30%"</formula>
    </cfRule>
  </conditionalFormatting>
  <conditionalFormatting sqref="G54">
    <cfRule type="expression" dxfId="14" priority="9" stopIfTrue="1">
      <formula>$H$54="超过20%"</formula>
    </cfRule>
  </conditionalFormatting>
  <conditionalFormatting sqref="G55">
    <cfRule type="expression" dxfId="13" priority="11" stopIfTrue="1">
      <formula>$H$55="超过30%"</formula>
    </cfRule>
  </conditionalFormatting>
  <conditionalFormatting sqref="H49">
    <cfRule type="expression" dxfId="12" priority="3">
      <formula>$D$49="简单平均"</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J49">
    <cfRule type="expression" dxfId="8" priority="2">
      <formula>$D$49="简单平均"</formula>
    </cfRule>
  </conditionalFormatting>
  <conditionalFormatting sqref="J53:J55">
    <cfRule type="containsText" dxfId="7" priority="8" stopIfTrue="1" operator="containsText" text="超过">
      <formula>NOT(ISERROR(SEARCH("超过",J53)))</formula>
    </cfRule>
  </conditionalFormatting>
  <dataValidations count="25">
    <dataValidation type="list" allowBlank="1" showInputMessage="1" showErrorMessage="1" sqref="E1" xr:uid="{00000000-0002-0000-2000-000000000000}">
      <formula1>"项目模式,单套模式"</formula1>
    </dataValidation>
    <dataValidation type="list" allowBlank="1" showInputMessage="1" showErrorMessage="1" sqref="D49" xr:uid="{00000000-0002-0000-2000-000001000000}">
      <formula1>"简单平均,加权平均"</formula1>
    </dataValidation>
    <dataValidation type="list" allowBlank="1" showInputMessage="1" showErrorMessage="1" sqref="F2" xr:uid="{00000000-0002-0000-2000-000002000000}">
      <formula1>估价方法</formula1>
    </dataValidation>
    <dataValidation type="list" allowBlank="1" showInputMessage="1" showErrorMessage="1" sqref="C2" xr:uid="{00000000-0002-0000-2000-000003000000}">
      <formula1>"需扣减承租人权益,——"</formula1>
    </dataValidation>
    <dataValidation type="list" allowBlank="1" showInputMessage="1" showErrorMessage="1" sqref="F1" xr:uid="{00000000-0002-0000-2000-000004000000}">
      <formula1>"售价,租金"</formula1>
    </dataValidation>
    <dataValidation type="list" allowBlank="1" showInputMessage="1" showErrorMessage="1" sqref="C22 E22 G22 I22" xr:uid="{00000000-0002-0000-2000-000005000000}">
      <formula1>基础设施水平</formula1>
    </dataValidation>
    <dataValidation type="list" allowBlank="1" showInputMessage="1" showErrorMessage="1" sqref="C8 E8 G8 I8" xr:uid="{00000000-0002-0000-2000-000006000000}">
      <formula1>办公交易情况</formula1>
    </dataValidation>
    <dataValidation type="list" allowBlank="1" showInputMessage="1" showErrorMessage="1" sqref="C43 E43 G43 I43" xr:uid="{00000000-0002-0000-2000-000007000000}">
      <formula1>办公内部装修</formula1>
    </dataValidation>
    <dataValidation type="list" allowBlank="1" showInputMessage="1" showErrorMessage="1" sqref="C41 E41 G41 I41" xr:uid="{00000000-0002-0000-2000-000008000000}">
      <formula1>办公层高</formula1>
    </dataValidation>
    <dataValidation type="list" allowBlank="1" showInputMessage="1" showErrorMessage="1" sqref="C40 E40 G40 I40" xr:uid="{00000000-0002-0000-2000-000009000000}">
      <formula1>办公基础设施水平</formula1>
    </dataValidation>
    <dataValidation type="list" allowBlank="1" showInputMessage="1" showErrorMessage="1" sqref="C39 E39 G39 I39" xr:uid="{00000000-0002-0000-2000-00000A000000}">
      <formula1>办公物业管理</formula1>
    </dataValidation>
    <dataValidation type="list" allowBlank="1" showInputMessage="1" showErrorMessage="1" sqref="C38 E38 G38 I38" xr:uid="{00000000-0002-0000-2000-00000B000000}">
      <formula1>写字楼等级</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3 E33 G33 I33" xr:uid="{00000000-0002-0000-2000-00000D000000}">
      <formula1>办公建筑类型</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G26 C26 E26 I26" xr:uid="{00000000-0002-0000-2000-000010000000}">
      <formula1>办公道路级别</formula1>
    </dataValidation>
    <dataValidation type="list" allowBlank="1" showInputMessage="1" showErrorMessage="1" sqref="C16 E16 G16 I16" xr:uid="{00000000-0002-0000-2000-000011000000}">
      <formula1>办公集聚程度</formula1>
    </dataValidation>
    <dataValidation type="list" allowBlank="1" showInputMessage="1" showErrorMessage="1" sqref="E9 G9 I9" xr:uid="{00000000-0002-0000-2000-000012000000}">
      <formula1>办公用途</formula1>
    </dataValidation>
    <dataValidation type="list" allowBlank="1" showInputMessage="1" showErrorMessage="1" sqref="D1" xr:uid="{00000000-0002-0000-2000-000013000000}">
      <formula1>项目类型</formula1>
    </dataValidation>
    <dataValidation type="list" allowBlank="1" showInputMessage="1" showErrorMessage="1" sqref="C44 E44 G44 I44" xr:uid="{00000000-0002-0000-2000-000014000000}">
      <formula1>内部装修维护情况</formula1>
    </dataValidation>
    <dataValidation type="list" allowBlank="1" showInputMessage="1" showErrorMessage="1" sqref="E20 I20 G20 C20" xr:uid="{00000000-0002-0000-2000-000015000000}">
      <formula1>公共配套设施</formula1>
    </dataValidation>
    <dataValidation type="list" allowBlank="1" showInputMessage="1" showErrorMessage="1" sqref="E18 G18 I18 C18" xr:uid="{00000000-0002-0000-2000-000016000000}">
      <formula1>交通便捷度</formula1>
    </dataValidation>
    <dataValidation type="list" allowBlank="1" showInputMessage="1" showErrorMessage="1" sqref="E24 G24 I24 C24" xr:uid="{00000000-0002-0000-2000-000017000000}">
      <formula1>环境</formula1>
    </dataValidation>
    <dataValidation type="list" allowBlank="1" showInputMessage="1" showErrorMessage="1" sqref="C35 E35 G35 I35" xr:uid="{00000000-0002-0000-20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7.399999999999999">
      <c r="A3" s="3178" t="str">
        <f>IF(项目基本情况!B9="房地产市场价值","估价结果一览表（市场价值不需“结果表-1”）","估价结果一览表")</f>
        <v>估价结果一览表</v>
      </c>
      <c r="B3" s="3178"/>
      <c r="C3" s="3178"/>
      <c r="D3" s="3178"/>
      <c r="E3" s="3178"/>
    </row>
    <row r="4" spans="1:5" ht="18" thickBot="1">
      <c r="A4" s="1390"/>
      <c r="B4" s="3176" t="s">
        <v>917</v>
      </c>
      <c r="C4" s="3176"/>
      <c r="D4" s="3176"/>
      <c r="E4" s="1390"/>
    </row>
    <row r="5" spans="1:5" ht="16.2" thickTop="1">
      <c r="B5" s="3174" t="s">
        <v>909</v>
      </c>
      <c r="C5" s="1391" t="s">
        <v>910</v>
      </c>
      <c r="D5" s="797">
        <f ca="1">结果表!H101</f>
        <v>508</v>
      </c>
    </row>
    <row r="6" spans="1:5" ht="15.6">
      <c r="B6" s="3174"/>
      <c r="C6" s="1391" t="s">
        <v>911</v>
      </c>
      <c r="D6" s="797" t="str">
        <f ca="1">NUMBERSTRING(INT(D5*10000),2)&amp;"元整"</f>
        <v>伍佰零捌万元整</v>
      </c>
    </row>
    <row r="7" spans="1:5" ht="15.6">
      <c r="B7" s="3179"/>
      <c r="C7" s="1392" t="s">
        <v>912</v>
      </c>
      <c r="D7" s="798">
        <f ca="1">结果表!H102</f>
        <v>28279</v>
      </c>
    </row>
    <row r="8" spans="1:5" ht="15.6">
      <c r="B8" s="3180" t="str">
        <f>结果表!E103</f>
        <v>2.估价师知悉的法定优先受偿款</v>
      </c>
      <c r="C8" s="1393" t="s">
        <v>913</v>
      </c>
      <c r="D8" s="798">
        <f>结果表!H103</f>
        <v>0</v>
      </c>
    </row>
    <row r="9" spans="1:5" ht="15.6">
      <c r="B9" s="3182"/>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73" t="str">
        <f>结果表!E107</f>
        <v>3.房地产抵押价值</v>
      </c>
      <c r="C13" s="1396" t="s">
        <v>910</v>
      </c>
      <c r="D13" s="800">
        <f ca="1">结果表!H107</f>
        <v>508</v>
      </c>
    </row>
    <row r="14" spans="1:5" ht="15.6">
      <c r="B14" s="3174"/>
      <c r="C14" s="1391" t="s">
        <v>911</v>
      </c>
      <c r="D14" s="797" t="str">
        <f ca="1">NUMBERSTRING(INT(D13*10000),2)&amp;"元整"</f>
        <v>伍佰零捌万元整</v>
      </c>
    </row>
    <row r="15" spans="1:5" ht="15.6">
      <c r="B15" s="3179"/>
      <c r="C15" s="1392" t="s">
        <v>921</v>
      </c>
      <c r="D15" s="806">
        <f ca="1">结果表!H108</f>
        <v>28279</v>
      </c>
    </row>
    <row r="16" spans="1:5" ht="15.6">
      <c r="B16" s="3180" t="str">
        <f>结果表!E109</f>
        <v>——</v>
      </c>
      <c r="C16" s="1396" t="s">
        <v>922</v>
      </c>
      <c r="D16" s="1397" t="str">
        <f>结果表!H109</f>
        <v>——</v>
      </c>
    </row>
    <row r="17" spans="1:5" ht="15.6">
      <c r="B17" s="3181"/>
      <c r="C17" s="1391" t="s">
        <v>923</v>
      </c>
      <c r="D17" s="797" t="e">
        <f>NUMBERSTRING(INT(D16*10000),2)&amp;"元整"</f>
        <v>#VALUE!</v>
      </c>
    </row>
    <row r="18" spans="1:5" ht="15.6">
      <c r="B18" s="3182"/>
      <c r="C18" s="1392" t="s">
        <v>912</v>
      </c>
      <c r="D18" s="806" t="str">
        <f>结果表!H110</f>
        <v>——</v>
      </c>
    </row>
    <row r="19" spans="1:5" ht="15.6">
      <c r="B19" s="3173" t="str">
        <f>结果表!E111</f>
        <v>4.抵押净值</v>
      </c>
      <c r="C19" s="1396" t="s">
        <v>910</v>
      </c>
      <c r="D19" s="798">
        <f ca="1">结果表!H111</f>
        <v>2619</v>
      </c>
    </row>
    <row r="20" spans="1:5" ht="15.6">
      <c r="B20" s="3174"/>
      <c r="C20" s="1391" t="s">
        <v>923</v>
      </c>
      <c r="D20" s="797" t="str">
        <f ca="1">NUMBERSTRING(INT(D19*10000),2)&amp;"元整"</f>
        <v>贰仟陆佰壹拾玖万元整</v>
      </c>
    </row>
    <row r="21" spans="1:5" ht="16.2" thickBot="1">
      <c r="B21" s="3175"/>
      <c r="C21" s="1398" t="s">
        <v>921</v>
      </c>
      <c r="D21" s="807">
        <f ca="1">结果表!H112</f>
        <v>29323</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85" zoomScaleNormal="85" workbookViewId="0">
      <pane ySplit="24" topLeftCell="A28" activePane="bottomLeft" state="frozen"/>
      <selection activeCell="C50" sqref="C50"/>
      <selection pane="bottomLeft" activeCell="B24" sqref="B2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ht="39.6">
      <c r="A2" s="930"/>
      <c r="B2" s="622" t="s">
        <v>2086</v>
      </c>
      <c r="C2" s="14" t="str">
        <f t="shared" ref="C2:L2" si="0">C3&amp;"(含)"&amp;"-"&amp;D3</f>
        <v>0(含)-100</v>
      </c>
      <c r="D2" s="623" t="str">
        <f t="shared" si="0"/>
        <v>100(含)-300</v>
      </c>
      <c r="E2" s="623" t="str">
        <f t="shared" si="0"/>
        <v>300(含)-500</v>
      </c>
      <c r="F2" s="623" t="str">
        <f t="shared" si="0"/>
        <v>500(含)-0</v>
      </c>
      <c r="G2" s="623" t="str">
        <f t="shared" si="0"/>
        <v>0(含)-0</v>
      </c>
      <c r="H2" s="623" t="str">
        <f t="shared" si="0"/>
        <v>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300</v>
      </c>
      <c r="F3" s="627">
        <f>'比较法-办公'!F104</f>
        <v>500</v>
      </c>
      <c r="G3" s="627">
        <f>'比较法-办公'!G104</f>
        <v>0</v>
      </c>
      <c r="H3" s="627">
        <f>'比较法-办公'!H104</f>
        <v>0</v>
      </c>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f>'比较法-办公'!C105</f>
        <v>98</v>
      </c>
      <c r="D4" s="935">
        <f>'比较法-办公'!D105</f>
        <v>99</v>
      </c>
      <c r="E4" s="935">
        <f>'比较法-办公'!E105</f>
        <v>100</v>
      </c>
      <c r="F4" s="935">
        <f>'比较法-办公'!F105</f>
        <v>99</v>
      </c>
      <c r="G4" s="935">
        <f>'比较法-办公'!G105</f>
        <v>0</v>
      </c>
      <c r="H4" s="935">
        <f>'比较法-办公'!H105</f>
        <v>0</v>
      </c>
      <c r="I4" s="935"/>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57" t="s">
        <v>3513</v>
      </c>
      <c r="C5" s="940" t="str">
        <f>'比较法-办公'!C89</f>
        <v>高区</v>
      </c>
      <c r="D5" s="940" t="str">
        <f>'比较法-办公'!D89</f>
        <v>中区</v>
      </c>
      <c r="E5" s="940" t="str">
        <f>'比较法-办公'!E89</f>
        <v>低区</v>
      </c>
      <c r="F5" s="1227"/>
      <c r="G5" s="1227"/>
      <c r="H5" s="1227"/>
      <c r="I5" s="1227"/>
      <c r="J5" s="1227"/>
      <c r="K5" s="1227"/>
      <c r="L5" s="1228"/>
      <c r="M5" s="1229"/>
      <c r="N5" s="1229"/>
      <c r="O5" s="1227"/>
      <c r="P5" s="1227"/>
      <c r="Q5" s="1227"/>
      <c r="R5" s="1227"/>
      <c r="S5" s="1230"/>
      <c r="T5" s="943">
        <f>'比较法-办公'!K27</f>
        <v>3</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97</v>
      </c>
      <c r="E6" s="849">
        <f t="shared" ref="E6:S6" si="7">D6-$T5</f>
        <v>94</v>
      </c>
      <c r="F6" s="1231">
        <f t="shared" si="7"/>
        <v>91</v>
      </c>
      <c r="G6" s="1231">
        <f t="shared" si="7"/>
        <v>88</v>
      </c>
      <c r="H6" s="1231">
        <f t="shared" si="7"/>
        <v>85</v>
      </c>
      <c r="I6" s="1231">
        <f t="shared" si="7"/>
        <v>82</v>
      </c>
      <c r="J6" s="1231">
        <f t="shared" si="7"/>
        <v>79</v>
      </c>
      <c r="K6" s="1231">
        <f t="shared" si="7"/>
        <v>76</v>
      </c>
      <c r="L6" s="1231">
        <f t="shared" si="7"/>
        <v>73</v>
      </c>
      <c r="M6" s="1231">
        <f t="shared" si="7"/>
        <v>70</v>
      </c>
      <c r="N6" s="1231">
        <f t="shared" si="7"/>
        <v>67</v>
      </c>
      <c r="O6" s="1231">
        <f t="shared" si="7"/>
        <v>64</v>
      </c>
      <c r="P6" s="1231">
        <f t="shared" si="7"/>
        <v>61</v>
      </c>
      <c r="Q6" s="1231">
        <f t="shared" si="7"/>
        <v>58</v>
      </c>
      <c r="R6" s="1231">
        <f t="shared" si="7"/>
        <v>55</v>
      </c>
      <c r="S6" s="1231">
        <f t="shared" si="7"/>
        <v>52</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6.4">
      <c r="A7" s="925"/>
      <c r="B7" s="3158" t="s">
        <v>3514</v>
      </c>
      <c r="C7" s="851" t="str">
        <f>'比较法-办公'!C119</f>
        <v>超高层高</v>
      </c>
      <c r="D7" s="851" t="str">
        <f>'比较法-办公'!D119</f>
        <v>标准层高</v>
      </c>
      <c r="E7" s="845"/>
      <c r="F7" s="1232"/>
      <c r="G7" s="1232"/>
      <c r="H7" s="1232"/>
      <c r="I7" s="1232"/>
      <c r="J7" s="1232"/>
      <c r="K7" s="1232"/>
      <c r="L7" s="1232"/>
      <c r="M7" s="1233"/>
      <c r="N7" s="1234"/>
      <c r="O7" s="1235"/>
      <c r="P7" s="1235"/>
      <c r="Q7" s="1236"/>
      <c r="R7" s="1237"/>
      <c r="S7" s="1238"/>
      <c r="T7" s="631">
        <v>20</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80</v>
      </c>
      <c r="E8" s="849">
        <f t="shared" ref="E8:S8" si="8">D8-$T7</f>
        <v>60</v>
      </c>
      <c r="F8" s="1231">
        <f t="shared" si="8"/>
        <v>40</v>
      </c>
      <c r="G8" s="1231">
        <f t="shared" si="8"/>
        <v>20</v>
      </c>
      <c r="H8" s="1231">
        <f t="shared" si="8"/>
        <v>0</v>
      </c>
      <c r="I8" s="1231">
        <f t="shared" si="8"/>
        <v>-20</v>
      </c>
      <c r="J8" s="1231">
        <f t="shared" si="8"/>
        <v>-40</v>
      </c>
      <c r="K8" s="1231">
        <f t="shared" si="8"/>
        <v>-60</v>
      </c>
      <c r="L8" s="1231">
        <f t="shared" si="8"/>
        <v>-80</v>
      </c>
      <c r="M8" s="1231">
        <f t="shared" si="8"/>
        <v>-100</v>
      </c>
      <c r="N8" s="1231">
        <f t="shared" si="8"/>
        <v>-120</v>
      </c>
      <c r="O8" s="1231">
        <f t="shared" si="8"/>
        <v>-140</v>
      </c>
      <c r="P8" s="1231">
        <f t="shared" si="8"/>
        <v>-160</v>
      </c>
      <c r="Q8" s="1231">
        <f t="shared" si="8"/>
        <v>-180</v>
      </c>
      <c r="R8" s="1231">
        <f t="shared" si="8"/>
        <v>-200</v>
      </c>
      <c r="S8" s="1231">
        <f t="shared" si="8"/>
        <v>-220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26.4">
      <c r="A9" s="925"/>
      <c r="B9" s="3158" t="s">
        <v>3515</v>
      </c>
      <c r="C9" s="851" t="str">
        <f>'比较法-办公'!C123</f>
        <v>精装修</v>
      </c>
      <c r="D9" s="851" t="str">
        <f>'比较法-办公'!D123</f>
        <v>普通装修</v>
      </c>
      <c r="E9" s="851" t="str">
        <f>'比较法-办公'!E123</f>
        <v>简单装修</v>
      </c>
      <c r="F9" s="851" t="str">
        <f>'比较法-办公'!F123</f>
        <v>毛坯</v>
      </c>
      <c r="G9" s="1232"/>
      <c r="H9" s="1232"/>
      <c r="I9" s="1232"/>
      <c r="J9" s="1232"/>
      <c r="K9" s="1232"/>
      <c r="L9" s="1239"/>
      <c r="M9" s="1233"/>
      <c r="N9" s="1234"/>
      <c r="O9" s="1235"/>
      <c r="P9" s="1235"/>
      <c r="Q9" s="1236"/>
      <c r="R9" s="1237"/>
      <c r="S9" s="1238"/>
      <c r="T9" s="631">
        <f>'比较法-办公'!K43</f>
        <v>2</v>
      </c>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98</v>
      </c>
      <c r="E10" s="715">
        <f t="shared" ref="E10:S10" si="9">D10-$T9</f>
        <v>96</v>
      </c>
      <c r="F10" s="1240">
        <f t="shared" si="9"/>
        <v>94</v>
      </c>
      <c r="G10" s="1240">
        <f t="shared" si="9"/>
        <v>92</v>
      </c>
      <c r="H10" s="1240">
        <f t="shared" si="9"/>
        <v>90</v>
      </c>
      <c r="I10" s="1240">
        <f t="shared" si="9"/>
        <v>88</v>
      </c>
      <c r="J10" s="1240">
        <f t="shared" si="9"/>
        <v>86</v>
      </c>
      <c r="K10" s="1240">
        <f t="shared" si="9"/>
        <v>84</v>
      </c>
      <c r="L10" s="1240">
        <f t="shared" si="9"/>
        <v>82</v>
      </c>
      <c r="M10" s="1240">
        <f t="shared" si="9"/>
        <v>80</v>
      </c>
      <c r="N10" s="1240">
        <f t="shared" si="9"/>
        <v>78</v>
      </c>
      <c r="O10" s="1240">
        <f t="shared" si="9"/>
        <v>76</v>
      </c>
      <c r="P10" s="1240">
        <f t="shared" si="9"/>
        <v>74</v>
      </c>
      <c r="Q10" s="1240">
        <f t="shared" si="9"/>
        <v>72</v>
      </c>
      <c r="R10" s="1240">
        <f t="shared" si="9"/>
        <v>70</v>
      </c>
      <c r="S10" s="1240">
        <f t="shared" si="9"/>
        <v>68</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2090</v>
      </c>
      <c r="B17" s="1986"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2092</v>
      </c>
      <c r="E19" s="1252"/>
      <c r="F19" s="1252"/>
      <c r="G19" s="1252"/>
      <c r="H19" s="996"/>
      <c r="I19" s="151"/>
      <c r="J19" s="151"/>
      <c r="K19" s="151"/>
      <c r="L19" s="151"/>
      <c r="M19" s="151"/>
      <c r="N19" s="151"/>
      <c r="O19" s="151"/>
      <c r="P19" s="151"/>
      <c r="Q19" s="151"/>
      <c r="R19" s="151"/>
      <c r="S19" s="121"/>
    </row>
    <row r="20" spans="1:45" ht="16.2" thickBot="1">
      <c r="A20" s="632" t="s">
        <v>2093</v>
      </c>
      <c r="B20" s="286">
        <f ca="1">IF(D20="——",S22,S22-F20)</f>
        <v>2620</v>
      </c>
      <c r="C20" s="151"/>
      <c r="D20" s="1988" t="s">
        <v>43</v>
      </c>
      <c r="E20" s="1253"/>
      <c r="F20" s="929" t="e">
        <f ca="1">SUMIF(INDIRECT("'"&amp;H20&amp;"'"&amp;"!A:A"),"承租人权益价值",INDIRECT("'"&amp;H20&amp;"'"&amp;"!c:c"))</f>
        <v>#REF!</v>
      </c>
      <c r="G20" s="929" t="s">
        <v>2094</v>
      </c>
      <c r="H20" s="1989"/>
      <c r="I20" s="151"/>
      <c r="J20" s="151"/>
      <c r="K20" s="151"/>
      <c r="L20" s="151"/>
      <c r="M20" s="151"/>
      <c r="N20" s="151"/>
      <c r="O20" s="151"/>
      <c r="P20" s="151"/>
      <c r="Q20" s="151"/>
      <c r="R20" s="151"/>
      <c r="S20" s="121"/>
    </row>
    <row r="21" spans="1:45" ht="15.6">
      <c r="A21" s="632" t="s">
        <v>2095</v>
      </c>
      <c r="B21" s="286">
        <f ca="1">ROUND(B20*10000/B22,0)</f>
        <v>29334</v>
      </c>
      <c r="C21" s="151"/>
      <c r="D21" s="151"/>
      <c r="E21" s="151"/>
      <c r="F21" s="151"/>
      <c r="G21" s="151"/>
      <c r="H21" s="151"/>
      <c r="I21" s="151"/>
      <c r="J21" s="151"/>
      <c r="K21" s="151"/>
      <c r="L21" s="151"/>
      <c r="M21" s="151"/>
      <c r="N21" s="151"/>
      <c r="O21" s="151"/>
      <c r="P21" s="151"/>
      <c r="Q21" s="151"/>
      <c r="R21" s="151"/>
      <c r="S21" s="121"/>
      <c r="T21" s="3166" t="s">
        <v>3530</v>
      </c>
      <c r="U21" s="3167">
        <f ca="1">结果表!N59</f>
        <v>2619</v>
      </c>
    </row>
    <row r="22" spans="1:45">
      <c r="A22" s="308" t="s">
        <v>2096</v>
      </c>
      <c r="B22" s="21">
        <f>SUM(B24:B10000)</f>
        <v>893.15</v>
      </c>
      <c r="C22" s="3454" t="s">
        <v>27</v>
      </c>
      <c r="D22" s="3455"/>
      <c r="E22" s="3455"/>
      <c r="F22" s="3455"/>
      <c r="G22" s="3455"/>
      <c r="H22" s="3455"/>
      <c r="I22" s="3455"/>
      <c r="J22" s="3455"/>
      <c r="K22" s="3455"/>
      <c r="L22" s="3455"/>
      <c r="M22" s="3455"/>
      <c r="N22" s="3455"/>
      <c r="O22" s="3455"/>
      <c r="P22" s="3455"/>
      <c r="Q22" s="3456"/>
      <c r="R22" s="21">
        <f ca="1">ROUND(S22*10000/B22,0)</f>
        <v>29334</v>
      </c>
      <c r="S22" s="21">
        <f ca="1">SUM(S24:S10000)</f>
        <v>2620</v>
      </c>
      <c r="T22" s="3166" t="s">
        <v>3531</v>
      </c>
      <c r="U22" s="3167">
        <f ca="1">结果表!N61</f>
        <v>29323</v>
      </c>
    </row>
    <row r="23" spans="1:45" s="9" customFormat="1" ht="24">
      <c r="A23" s="8" t="s">
        <v>2097</v>
      </c>
      <c r="B23" s="8" t="s">
        <v>2098</v>
      </c>
      <c r="C23" s="8" t="s">
        <v>2099</v>
      </c>
      <c r="D23" s="8" t="str">
        <f>B5</f>
        <v>楼层</v>
      </c>
      <c r="E23" s="8" t="s">
        <v>2099</v>
      </c>
      <c r="F23" s="8" t="str">
        <f>B7</f>
        <v>层高</v>
      </c>
      <c r="G23" s="8" t="s">
        <v>2099</v>
      </c>
      <c r="H23" s="8" t="str">
        <f>B9</f>
        <v>装修</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2102</v>
      </c>
      <c r="B24" s="633">
        <f>'数据-汇总表'!E19</f>
        <v>179.5</v>
      </c>
      <c r="C24" s="2568">
        <v>1</v>
      </c>
      <c r="D24" s="2569" t="s">
        <v>3458</v>
      </c>
      <c r="E24" s="2568">
        <v>1</v>
      </c>
      <c r="F24" s="2569" t="s">
        <v>3492</v>
      </c>
      <c r="G24" s="2568">
        <v>1</v>
      </c>
      <c r="H24" s="2569" t="s">
        <v>3496</v>
      </c>
      <c r="I24" s="2568">
        <v>1</v>
      </c>
      <c r="J24" s="2569"/>
      <c r="K24" s="2568">
        <v>1</v>
      </c>
      <c r="L24" s="2569"/>
      <c r="M24" s="2568">
        <v>1</v>
      </c>
      <c r="N24" s="2569"/>
      <c r="O24" s="2568">
        <v>1</v>
      </c>
      <c r="P24" s="2569"/>
      <c r="Q24" s="2568">
        <v>1</v>
      </c>
      <c r="R24" s="633">
        <f ca="1">结果表!H102</f>
        <v>28279</v>
      </c>
      <c r="S24" s="634">
        <f t="shared" ref="S24:S54" ca="1" si="11">ROUND(R24*B24/10000,0)</f>
        <v>508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'数据-基础表'!C13</f>
        <v>712</v>
      </c>
      <c r="B25" s="52">
        <f>'数据-基础表'!G13</f>
        <v>194.79</v>
      </c>
      <c r="C25" s="21">
        <f>IF(B25="",1,(LOOKUP(B25,$3:$3,$4:$4)-LOOKUP($B$24,$3:$3,$4:$4)+100)/100)</f>
        <v>1</v>
      </c>
      <c r="D25" s="635" t="s">
        <v>3460</v>
      </c>
      <c r="E25" s="21">
        <f>(SUMIF($5:$5,D25,$6:$6)-SUMIF($5:$5,$D$24,$6:$6)+100)/100</f>
        <v>0.97</v>
      </c>
      <c r="F25" s="635" t="s">
        <v>3492</v>
      </c>
      <c r="G25" s="21">
        <f>(SUMIF($7:$7,F25,$8:$8)-SUMIF($7:$7,$F$24,$8:$8)+100)/100</f>
        <v>1</v>
      </c>
      <c r="H25" s="635" t="s">
        <v>3496</v>
      </c>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27431</v>
      </c>
      <c r="S25" s="308">
        <f t="shared" ca="1" si="11"/>
        <v>534</v>
      </c>
    </row>
    <row r="26" spans="1:45">
      <c r="A26" s="142">
        <f>'数据-基础表'!C15</f>
        <v>1805</v>
      </c>
      <c r="B26" s="52">
        <f>'数据-基础表'!G15</f>
        <v>199.86</v>
      </c>
      <c r="C26" s="21">
        <f t="shared" ref="C26:C89" si="12">IF(B26="",1,(LOOKUP(B26,$3:$3,$4:$4)-LOOKUP($B$24,$3:$3,$4:$4)+100)/100)</f>
        <v>1</v>
      </c>
      <c r="D26" s="635" t="s">
        <v>3456</v>
      </c>
      <c r="E26" s="21">
        <f t="shared" ref="E26:E89" si="13">(SUMIF($5:$5,D26,$6:$6)-SUMIF($5:$5,$D$24,$6:$6)+100)/100</f>
        <v>1.03</v>
      </c>
      <c r="F26" s="635" t="s">
        <v>3492</v>
      </c>
      <c r="G26" s="21">
        <f t="shared" ref="G26:G89" si="14">(SUMIF($7:$7,F26,$8:$8)-SUMIF($7:$7,$F$24,$8:$8)+100)/100</f>
        <v>1</v>
      </c>
      <c r="H26" s="635" t="s">
        <v>3496</v>
      </c>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29127</v>
      </c>
      <c r="S26" s="308">
        <f t="shared" ca="1" si="11"/>
        <v>582</v>
      </c>
    </row>
    <row r="27" spans="1:45">
      <c r="A27" s="142">
        <f>'数据-基础表'!C16</f>
        <v>2006</v>
      </c>
      <c r="B27" s="52">
        <f>'数据-基础表'!G16</f>
        <v>114.36</v>
      </c>
      <c r="C27" s="21">
        <f t="shared" si="12"/>
        <v>1</v>
      </c>
      <c r="D27" s="635" t="s">
        <v>3456</v>
      </c>
      <c r="E27" s="21">
        <f t="shared" si="13"/>
        <v>1.03</v>
      </c>
      <c r="F27" s="635" t="s">
        <v>3490</v>
      </c>
      <c r="G27" s="21">
        <f t="shared" si="14"/>
        <v>1.2</v>
      </c>
      <c r="H27" s="635" t="s">
        <v>3496</v>
      </c>
      <c r="I27" s="21">
        <f t="shared" si="15"/>
        <v>1</v>
      </c>
      <c r="J27" s="635"/>
      <c r="K27" s="21">
        <f t="shared" si="16"/>
        <v>1</v>
      </c>
      <c r="L27" s="635"/>
      <c r="M27" s="21">
        <f t="shared" si="17"/>
        <v>1</v>
      </c>
      <c r="N27" s="635"/>
      <c r="O27" s="21">
        <f t="shared" si="18"/>
        <v>1</v>
      </c>
      <c r="P27" s="635"/>
      <c r="Q27" s="21">
        <f t="shared" si="19"/>
        <v>1</v>
      </c>
      <c r="R27" s="21">
        <f t="shared" ca="1" si="20"/>
        <v>34953</v>
      </c>
      <c r="S27" s="308">
        <f t="shared" ca="1" si="11"/>
        <v>400</v>
      </c>
    </row>
    <row r="28" spans="1:45">
      <c r="A28" s="142">
        <f>'数据-基础表'!C17</f>
        <v>2012</v>
      </c>
      <c r="B28" s="52">
        <f>'数据-基础表'!G17</f>
        <v>204.64</v>
      </c>
      <c r="C28" s="21">
        <f t="shared" si="12"/>
        <v>1</v>
      </c>
      <c r="D28" s="635" t="s">
        <v>3456</v>
      </c>
      <c r="E28" s="21">
        <f t="shared" si="13"/>
        <v>1.03</v>
      </c>
      <c r="F28" s="635" t="s">
        <v>3492</v>
      </c>
      <c r="G28" s="21">
        <f t="shared" si="14"/>
        <v>1</v>
      </c>
      <c r="H28" s="635" t="s">
        <v>3496</v>
      </c>
      <c r="I28" s="21">
        <f t="shared" si="15"/>
        <v>1</v>
      </c>
      <c r="J28" s="635"/>
      <c r="K28" s="21">
        <f t="shared" si="16"/>
        <v>1</v>
      </c>
      <c r="L28" s="635"/>
      <c r="M28" s="21">
        <f t="shared" si="17"/>
        <v>1</v>
      </c>
      <c r="N28" s="635"/>
      <c r="O28" s="21">
        <f t="shared" si="18"/>
        <v>1</v>
      </c>
      <c r="P28" s="635"/>
      <c r="Q28" s="21">
        <f t="shared" si="19"/>
        <v>1</v>
      </c>
      <c r="R28" s="21">
        <f t="shared" ca="1" si="20"/>
        <v>29127</v>
      </c>
      <c r="S28" s="308">
        <f t="shared" ca="1" si="11"/>
        <v>596</v>
      </c>
    </row>
    <row r="29" spans="1:45">
      <c r="A29" s="142"/>
      <c r="B29" s="52"/>
      <c r="C29" s="21">
        <f t="shared" si="12"/>
        <v>1</v>
      </c>
      <c r="D29" s="635"/>
      <c r="E29" s="21">
        <f t="shared" si="13"/>
        <v>0.03</v>
      </c>
      <c r="F29" s="635"/>
      <c r="G29" s="21">
        <f t="shared" si="14"/>
        <v>0.2</v>
      </c>
      <c r="H29" s="635"/>
      <c r="I29" s="21">
        <f t="shared" si="15"/>
        <v>0.02</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0.03</v>
      </c>
      <c r="F30" s="635"/>
      <c r="G30" s="21">
        <f t="shared" si="14"/>
        <v>0.2</v>
      </c>
      <c r="H30" s="635"/>
      <c r="I30" s="21">
        <f t="shared" si="15"/>
        <v>0.02</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0.03</v>
      </c>
      <c r="F31" s="635"/>
      <c r="G31" s="21">
        <f t="shared" si="14"/>
        <v>0.2</v>
      </c>
      <c r="H31" s="635"/>
      <c r="I31" s="21">
        <f t="shared" si="15"/>
        <v>0.02</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0.03</v>
      </c>
      <c r="F32" s="635"/>
      <c r="G32" s="21">
        <f t="shared" si="14"/>
        <v>0.2</v>
      </c>
      <c r="H32" s="635"/>
      <c r="I32" s="21">
        <f t="shared" si="15"/>
        <v>0.02</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0.03</v>
      </c>
      <c r="F33" s="635"/>
      <c r="G33" s="21">
        <f t="shared" si="14"/>
        <v>0.2</v>
      </c>
      <c r="H33" s="635"/>
      <c r="I33" s="21">
        <f t="shared" si="15"/>
        <v>0.02</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0.03</v>
      </c>
      <c r="F34" s="635"/>
      <c r="G34" s="21">
        <f t="shared" si="14"/>
        <v>0.2</v>
      </c>
      <c r="H34" s="635"/>
      <c r="I34" s="21">
        <f t="shared" si="15"/>
        <v>0.02</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0.03</v>
      </c>
      <c r="F35" s="635"/>
      <c r="G35" s="21">
        <f t="shared" si="14"/>
        <v>0.2</v>
      </c>
      <c r="H35" s="635"/>
      <c r="I35" s="21">
        <f t="shared" si="15"/>
        <v>0.02</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0.03</v>
      </c>
      <c r="F36" s="635"/>
      <c r="G36" s="21">
        <f t="shared" si="14"/>
        <v>0.2</v>
      </c>
      <c r="H36" s="635"/>
      <c r="I36" s="21">
        <f t="shared" si="15"/>
        <v>0.02</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0.03</v>
      </c>
      <c r="F37" s="635"/>
      <c r="G37" s="21">
        <f t="shared" si="14"/>
        <v>0.2</v>
      </c>
      <c r="H37" s="635"/>
      <c r="I37" s="21">
        <f t="shared" si="15"/>
        <v>0.02</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0.03</v>
      </c>
      <c r="F38" s="635"/>
      <c r="G38" s="21">
        <f t="shared" si="14"/>
        <v>0.2</v>
      </c>
      <c r="H38" s="635"/>
      <c r="I38" s="21">
        <f t="shared" si="15"/>
        <v>0.02</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0.03</v>
      </c>
      <c r="F39" s="635"/>
      <c r="G39" s="21">
        <f t="shared" si="14"/>
        <v>0.2</v>
      </c>
      <c r="H39" s="635"/>
      <c r="I39" s="21">
        <f t="shared" si="15"/>
        <v>0.02</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0.03</v>
      </c>
      <c r="F40" s="635"/>
      <c r="G40" s="21">
        <f t="shared" si="14"/>
        <v>0.2</v>
      </c>
      <c r="H40" s="635"/>
      <c r="I40" s="21">
        <f t="shared" si="15"/>
        <v>0.02</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0.03</v>
      </c>
      <c r="F41" s="635"/>
      <c r="G41" s="21">
        <f t="shared" si="14"/>
        <v>0.2</v>
      </c>
      <c r="H41" s="635"/>
      <c r="I41" s="21">
        <f t="shared" si="15"/>
        <v>0.02</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0.03</v>
      </c>
      <c r="F42" s="635"/>
      <c r="G42" s="21">
        <f t="shared" si="14"/>
        <v>0.2</v>
      </c>
      <c r="H42" s="635"/>
      <c r="I42" s="21">
        <f t="shared" si="15"/>
        <v>0.02</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0.03</v>
      </c>
      <c r="F43" s="635"/>
      <c r="G43" s="21">
        <f t="shared" si="14"/>
        <v>0.2</v>
      </c>
      <c r="H43" s="635"/>
      <c r="I43" s="21">
        <f t="shared" si="15"/>
        <v>0.02</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0.03</v>
      </c>
      <c r="F44" s="635"/>
      <c r="G44" s="21">
        <f t="shared" si="14"/>
        <v>0.2</v>
      </c>
      <c r="H44" s="635"/>
      <c r="I44" s="21">
        <f t="shared" si="15"/>
        <v>0.02</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0.03</v>
      </c>
      <c r="F45" s="635"/>
      <c r="G45" s="21">
        <f t="shared" si="14"/>
        <v>0.2</v>
      </c>
      <c r="H45" s="635"/>
      <c r="I45" s="21">
        <f t="shared" si="15"/>
        <v>0.02</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0.03</v>
      </c>
      <c r="F46" s="635"/>
      <c r="G46" s="21">
        <f t="shared" si="14"/>
        <v>0.2</v>
      </c>
      <c r="H46" s="635"/>
      <c r="I46" s="21">
        <f t="shared" si="15"/>
        <v>0.02</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0.03</v>
      </c>
      <c r="F47" s="635"/>
      <c r="G47" s="21">
        <f t="shared" si="14"/>
        <v>0.2</v>
      </c>
      <c r="H47" s="635"/>
      <c r="I47" s="21">
        <f t="shared" si="15"/>
        <v>0.02</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0.03</v>
      </c>
      <c r="F48" s="635"/>
      <c r="G48" s="21">
        <f t="shared" si="14"/>
        <v>0.2</v>
      </c>
      <c r="H48" s="635"/>
      <c r="I48" s="21">
        <f t="shared" si="15"/>
        <v>0.02</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0.03</v>
      </c>
      <c r="F49" s="635"/>
      <c r="G49" s="21">
        <f t="shared" si="14"/>
        <v>0.2</v>
      </c>
      <c r="H49" s="635"/>
      <c r="I49" s="21">
        <f t="shared" si="15"/>
        <v>0.02</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0.03</v>
      </c>
      <c r="F50" s="635"/>
      <c r="G50" s="21">
        <f t="shared" si="14"/>
        <v>0.2</v>
      </c>
      <c r="H50" s="635"/>
      <c r="I50" s="21">
        <f t="shared" si="15"/>
        <v>0.02</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0.03</v>
      </c>
      <c r="F51" s="635"/>
      <c r="G51" s="21">
        <f t="shared" si="14"/>
        <v>0.2</v>
      </c>
      <c r="H51" s="635"/>
      <c r="I51" s="21">
        <f t="shared" si="15"/>
        <v>0.02</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0.03</v>
      </c>
      <c r="F52" s="635"/>
      <c r="G52" s="21">
        <f t="shared" si="14"/>
        <v>0.2</v>
      </c>
      <c r="H52" s="635"/>
      <c r="I52" s="21">
        <f t="shared" si="15"/>
        <v>0.02</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0.03</v>
      </c>
      <c r="F53" s="635"/>
      <c r="G53" s="21">
        <f t="shared" si="14"/>
        <v>0.2</v>
      </c>
      <c r="H53" s="635"/>
      <c r="I53" s="21">
        <f t="shared" si="15"/>
        <v>0.02</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0.03</v>
      </c>
      <c r="F54" s="635"/>
      <c r="G54" s="21">
        <f t="shared" si="14"/>
        <v>0.2</v>
      </c>
      <c r="H54" s="635"/>
      <c r="I54" s="21">
        <f t="shared" si="15"/>
        <v>0.02</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0.03</v>
      </c>
      <c r="F55" s="635"/>
      <c r="G55" s="21">
        <f t="shared" si="14"/>
        <v>0.2</v>
      </c>
      <c r="H55" s="635"/>
      <c r="I55" s="21">
        <f t="shared" si="15"/>
        <v>0.02</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0.03</v>
      </c>
      <c r="F56" s="635"/>
      <c r="G56" s="21">
        <f t="shared" si="14"/>
        <v>0.2</v>
      </c>
      <c r="H56" s="635"/>
      <c r="I56" s="21">
        <f t="shared" si="15"/>
        <v>0.02</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0.03</v>
      </c>
      <c r="F57" s="635"/>
      <c r="G57" s="21">
        <f t="shared" si="14"/>
        <v>0.2</v>
      </c>
      <c r="H57" s="635"/>
      <c r="I57" s="21">
        <f t="shared" si="15"/>
        <v>0.02</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0.03</v>
      </c>
      <c r="F58" s="635"/>
      <c r="G58" s="21">
        <f t="shared" si="14"/>
        <v>0.2</v>
      </c>
      <c r="H58" s="635"/>
      <c r="I58" s="21">
        <f t="shared" si="15"/>
        <v>0.02</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0.03</v>
      </c>
      <c r="F59" s="635"/>
      <c r="G59" s="21">
        <f t="shared" si="14"/>
        <v>0.2</v>
      </c>
      <c r="H59" s="635"/>
      <c r="I59" s="21">
        <f t="shared" si="15"/>
        <v>0.02</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0.03</v>
      </c>
      <c r="F60" s="635"/>
      <c r="G60" s="21">
        <f t="shared" si="14"/>
        <v>0.2</v>
      </c>
      <c r="H60" s="635"/>
      <c r="I60" s="21">
        <f t="shared" si="15"/>
        <v>0.02</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0.03</v>
      </c>
      <c r="F61" s="635"/>
      <c r="G61" s="21">
        <f t="shared" si="14"/>
        <v>0.2</v>
      </c>
      <c r="H61" s="635"/>
      <c r="I61" s="21">
        <f t="shared" si="15"/>
        <v>0.02</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0.03</v>
      </c>
      <c r="F62" s="635"/>
      <c r="G62" s="21">
        <f t="shared" si="14"/>
        <v>0.2</v>
      </c>
      <c r="H62" s="635"/>
      <c r="I62" s="21">
        <f t="shared" si="15"/>
        <v>0.02</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0.03</v>
      </c>
      <c r="F63" s="635"/>
      <c r="G63" s="21">
        <f t="shared" si="14"/>
        <v>0.2</v>
      </c>
      <c r="H63" s="635"/>
      <c r="I63" s="21">
        <f t="shared" si="15"/>
        <v>0.02</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0.03</v>
      </c>
      <c r="F64" s="635"/>
      <c r="G64" s="21">
        <f t="shared" si="14"/>
        <v>0.2</v>
      </c>
      <c r="H64" s="635"/>
      <c r="I64" s="21">
        <f t="shared" si="15"/>
        <v>0.02</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0.03</v>
      </c>
      <c r="F65" s="635"/>
      <c r="G65" s="21">
        <f t="shared" si="14"/>
        <v>0.2</v>
      </c>
      <c r="H65" s="635"/>
      <c r="I65" s="21">
        <f t="shared" si="15"/>
        <v>0.02</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0.03</v>
      </c>
      <c r="F66" s="635"/>
      <c r="G66" s="21">
        <f t="shared" si="14"/>
        <v>0.2</v>
      </c>
      <c r="H66" s="635"/>
      <c r="I66" s="21">
        <f t="shared" si="15"/>
        <v>0.02</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0.03</v>
      </c>
      <c r="F67" s="635"/>
      <c r="G67" s="21">
        <f t="shared" si="14"/>
        <v>0.2</v>
      </c>
      <c r="H67" s="635"/>
      <c r="I67" s="21">
        <f t="shared" si="15"/>
        <v>0.02</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0.03</v>
      </c>
      <c r="F68" s="635"/>
      <c r="G68" s="21">
        <f t="shared" si="14"/>
        <v>0.2</v>
      </c>
      <c r="H68" s="635"/>
      <c r="I68" s="21">
        <f t="shared" si="15"/>
        <v>0.02</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0.03</v>
      </c>
      <c r="F69" s="635"/>
      <c r="G69" s="21">
        <f t="shared" si="14"/>
        <v>0.2</v>
      </c>
      <c r="H69" s="635"/>
      <c r="I69" s="21">
        <f t="shared" si="15"/>
        <v>0.02</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0.03</v>
      </c>
      <c r="F70" s="635"/>
      <c r="G70" s="21">
        <f t="shared" si="14"/>
        <v>0.2</v>
      </c>
      <c r="H70" s="635"/>
      <c r="I70" s="21">
        <f t="shared" si="15"/>
        <v>0.02</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0.03</v>
      </c>
      <c r="F71" s="635"/>
      <c r="G71" s="21">
        <f t="shared" si="14"/>
        <v>0.2</v>
      </c>
      <c r="H71" s="635"/>
      <c r="I71" s="21">
        <f t="shared" si="15"/>
        <v>0.02</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0.03</v>
      </c>
      <c r="F72" s="635"/>
      <c r="G72" s="21">
        <f t="shared" si="14"/>
        <v>0.2</v>
      </c>
      <c r="H72" s="635"/>
      <c r="I72" s="21">
        <f t="shared" si="15"/>
        <v>0.02</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0.03</v>
      </c>
      <c r="F73" s="635"/>
      <c r="G73" s="21">
        <f t="shared" si="14"/>
        <v>0.2</v>
      </c>
      <c r="H73" s="635"/>
      <c r="I73" s="21">
        <f t="shared" si="15"/>
        <v>0.02</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0.03</v>
      </c>
      <c r="F74" s="635"/>
      <c r="G74" s="21">
        <f t="shared" si="14"/>
        <v>0.2</v>
      </c>
      <c r="H74" s="635"/>
      <c r="I74" s="21">
        <f t="shared" si="15"/>
        <v>0.02</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0.03</v>
      </c>
      <c r="F75" s="635"/>
      <c r="G75" s="21">
        <f t="shared" si="14"/>
        <v>0.2</v>
      </c>
      <c r="H75" s="635"/>
      <c r="I75" s="21">
        <f t="shared" si="15"/>
        <v>0.02</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0.03</v>
      </c>
      <c r="F76" s="635"/>
      <c r="G76" s="21">
        <f t="shared" si="14"/>
        <v>0.2</v>
      </c>
      <c r="H76" s="635"/>
      <c r="I76" s="21">
        <f t="shared" si="15"/>
        <v>0.02</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0.03</v>
      </c>
      <c r="F77" s="635"/>
      <c r="G77" s="21">
        <f t="shared" si="14"/>
        <v>0.2</v>
      </c>
      <c r="H77" s="635"/>
      <c r="I77" s="21">
        <f t="shared" si="15"/>
        <v>0.02</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0.03</v>
      </c>
      <c r="F78" s="635"/>
      <c r="G78" s="21">
        <f t="shared" si="14"/>
        <v>0.2</v>
      </c>
      <c r="H78" s="635"/>
      <c r="I78" s="21">
        <f t="shared" si="15"/>
        <v>0.02</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0.03</v>
      </c>
      <c r="F79" s="635"/>
      <c r="G79" s="21">
        <f t="shared" si="14"/>
        <v>0.2</v>
      </c>
      <c r="H79" s="635"/>
      <c r="I79" s="21">
        <f t="shared" si="15"/>
        <v>0.02</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0.03</v>
      </c>
      <c r="F80" s="635"/>
      <c r="G80" s="21">
        <f t="shared" si="14"/>
        <v>0.2</v>
      </c>
      <c r="H80" s="635"/>
      <c r="I80" s="21">
        <f t="shared" si="15"/>
        <v>0.02</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0.03</v>
      </c>
      <c r="F81" s="635"/>
      <c r="G81" s="21">
        <f t="shared" si="14"/>
        <v>0.2</v>
      </c>
      <c r="H81" s="635"/>
      <c r="I81" s="21">
        <f t="shared" si="15"/>
        <v>0.02</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0.03</v>
      </c>
      <c r="F82" s="635"/>
      <c r="G82" s="21">
        <f t="shared" si="14"/>
        <v>0.2</v>
      </c>
      <c r="H82" s="635"/>
      <c r="I82" s="21">
        <f t="shared" si="15"/>
        <v>0.02</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0.03</v>
      </c>
      <c r="F83" s="635"/>
      <c r="G83" s="21">
        <f t="shared" si="14"/>
        <v>0.2</v>
      </c>
      <c r="H83" s="635"/>
      <c r="I83" s="21">
        <f t="shared" si="15"/>
        <v>0.02</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0.03</v>
      </c>
      <c r="F84" s="635"/>
      <c r="G84" s="21">
        <f t="shared" si="14"/>
        <v>0.2</v>
      </c>
      <c r="H84" s="635"/>
      <c r="I84" s="21">
        <f t="shared" si="15"/>
        <v>0.02</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0.03</v>
      </c>
      <c r="F85" s="635"/>
      <c r="G85" s="21">
        <f t="shared" si="14"/>
        <v>0.2</v>
      </c>
      <c r="H85" s="635"/>
      <c r="I85" s="21">
        <f t="shared" si="15"/>
        <v>0.02</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0.03</v>
      </c>
      <c r="F86" s="635"/>
      <c r="G86" s="21">
        <f t="shared" si="14"/>
        <v>0.2</v>
      </c>
      <c r="H86" s="635"/>
      <c r="I86" s="21">
        <f t="shared" si="15"/>
        <v>0.02</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0.03</v>
      </c>
      <c r="F87" s="635"/>
      <c r="G87" s="21">
        <f t="shared" si="14"/>
        <v>0.2</v>
      </c>
      <c r="H87" s="635"/>
      <c r="I87" s="21">
        <f t="shared" si="15"/>
        <v>0.02</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0.03</v>
      </c>
      <c r="F88" s="635"/>
      <c r="G88" s="21">
        <f t="shared" si="14"/>
        <v>0.2</v>
      </c>
      <c r="H88" s="635"/>
      <c r="I88" s="21">
        <f t="shared" si="15"/>
        <v>0.02</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0.03</v>
      </c>
      <c r="F89" s="635"/>
      <c r="G89" s="21">
        <f t="shared" si="14"/>
        <v>0.2</v>
      </c>
      <c r="H89" s="635"/>
      <c r="I89" s="21">
        <f t="shared" si="15"/>
        <v>0.02</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0.03</v>
      </c>
      <c r="F90" s="635"/>
      <c r="G90" s="21">
        <f t="shared" ref="G90:G153" si="25">(SUMIF($7:$7,F90,$8:$8)-SUMIF($7:$7,$F$24,$8:$8)+100)/100</f>
        <v>0.2</v>
      </c>
      <c r="H90" s="635"/>
      <c r="I90" s="21">
        <f t="shared" ref="I90:I153" si="26">(SUMIF($9:$9,H90,$10:$10)-SUMIF($9:$9,$H$24,$10:$10)+100)/100</f>
        <v>0.02</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0.03</v>
      </c>
      <c r="F91" s="635"/>
      <c r="G91" s="21">
        <f t="shared" si="25"/>
        <v>0.2</v>
      </c>
      <c r="H91" s="635"/>
      <c r="I91" s="21">
        <f t="shared" si="26"/>
        <v>0.02</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0.03</v>
      </c>
      <c r="F92" s="635"/>
      <c r="G92" s="21">
        <f t="shared" si="25"/>
        <v>0.2</v>
      </c>
      <c r="H92" s="635"/>
      <c r="I92" s="21">
        <f t="shared" si="26"/>
        <v>0.02</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0.03</v>
      </c>
      <c r="F93" s="635"/>
      <c r="G93" s="21">
        <f t="shared" si="25"/>
        <v>0.2</v>
      </c>
      <c r="H93" s="635"/>
      <c r="I93" s="21">
        <f t="shared" si="26"/>
        <v>0.02</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0.03</v>
      </c>
      <c r="F94" s="635"/>
      <c r="G94" s="21">
        <f t="shared" si="25"/>
        <v>0.2</v>
      </c>
      <c r="H94" s="635"/>
      <c r="I94" s="21">
        <f t="shared" si="26"/>
        <v>0.02</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0.03</v>
      </c>
      <c r="F95" s="635"/>
      <c r="G95" s="21">
        <f t="shared" si="25"/>
        <v>0.2</v>
      </c>
      <c r="H95" s="635"/>
      <c r="I95" s="21">
        <f t="shared" si="26"/>
        <v>0.02</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0.03</v>
      </c>
      <c r="F96" s="635"/>
      <c r="G96" s="21">
        <f t="shared" si="25"/>
        <v>0.2</v>
      </c>
      <c r="H96" s="635"/>
      <c r="I96" s="21">
        <f t="shared" si="26"/>
        <v>0.02</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0.03</v>
      </c>
      <c r="F97" s="635"/>
      <c r="G97" s="21">
        <f t="shared" si="25"/>
        <v>0.2</v>
      </c>
      <c r="H97" s="635"/>
      <c r="I97" s="21">
        <f t="shared" si="26"/>
        <v>0.02</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0.03</v>
      </c>
      <c r="F98" s="635"/>
      <c r="G98" s="21">
        <f t="shared" si="25"/>
        <v>0.2</v>
      </c>
      <c r="H98" s="635"/>
      <c r="I98" s="21">
        <f t="shared" si="26"/>
        <v>0.02</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0.03</v>
      </c>
      <c r="F99" s="635"/>
      <c r="G99" s="21">
        <f t="shared" si="25"/>
        <v>0.2</v>
      </c>
      <c r="H99" s="635"/>
      <c r="I99" s="21">
        <f t="shared" si="26"/>
        <v>0.02</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0.03</v>
      </c>
      <c r="F100" s="635"/>
      <c r="G100" s="21">
        <f t="shared" si="25"/>
        <v>0.2</v>
      </c>
      <c r="H100" s="635"/>
      <c r="I100" s="21">
        <f t="shared" si="26"/>
        <v>0.02</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0.03</v>
      </c>
      <c r="F101" s="635"/>
      <c r="G101" s="21">
        <f t="shared" si="25"/>
        <v>0.2</v>
      </c>
      <c r="H101" s="635"/>
      <c r="I101" s="21">
        <f t="shared" si="26"/>
        <v>0.02</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0.03</v>
      </c>
      <c r="F102" s="635"/>
      <c r="G102" s="21">
        <f t="shared" si="25"/>
        <v>0.2</v>
      </c>
      <c r="H102" s="635"/>
      <c r="I102" s="21">
        <f t="shared" si="26"/>
        <v>0.02</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0.03</v>
      </c>
      <c r="F103" s="635"/>
      <c r="G103" s="21">
        <f t="shared" si="25"/>
        <v>0.2</v>
      </c>
      <c r="H103" s="635"/>
      <c r="I103" s="21">
        <f t="shared" si="26"/>
        <v>0.02</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0.03</v>
      </c>
      <c r="F104" s="635"/>
      <c r="G104" s="21">
        <f t="shared" si="25"/>
        <v>0.2</v>
      </c>
      <c r="H104" s="635"/>
      <c r="I104" s="21">
        <f t="shared" si="26"/>
        <v>0.02</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0.03</v>
      </c>
      <c r="F105" s="635"/>
      <c r="G105" s="21">
        <f t="shared" si="25"/>
        <v>0.2</v>
      </c>
      <c r="H105" s="635"/>
      <c r="I105" s="21">
        <f t="shared" si="26"/>
        <v>0.02</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0.03</v>
      </c>
      <c r="F106" s="635"/>
      <c r="G106" s="21">
        <f t="shared" si="25"/>
        <v>0.2</v>
      </c>
      <c r="H106" s="635"/>
      <c r="I106" s="21">
        <f t="shared" si="26"/>
        <v>0.02</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0.03</v>
      </c>
      <c r="F107" s="635"/>
      <c r="G107" s="21">
        <f t="shared" si="25"/>
        <v>0.2</v>
      </c>
      <c r="H107" s="635"/>
      <c r="I107" s="21">
        <f t="shared" si="26"/>
        <v>0.02</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0.03</v>
      </c>
      <c r="F108" s="635"/>
      <c r="G108" s="21">
        <f t="shared" si="25"/>
        <v>0.2</v>
      </c>
      <c r="H108" s="635"/>
      <c r="I108" s="21">
        <f t="shared" si="26"/>
        <v>0.02</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0.03</v>
      </c>
      <c r="F109" s="635"/>
      <c r="G109" s="21">
        <f t="shared" si="25"/>
        <v>0.2</v>
      </c>
      <c r="H109" s="635"/>
      <c r="I109" s="21">
        <f t="shared" si="26"/>
        <v>0.02</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0.03</v>
      </c>
      <c r="F110" s="635"/>
      <c r="G110" s="21">
        <f t="shared" si="25"/>
        <v>0.2</v>
      </c>
      <c r="H110" s="635"/>
      <c r="I110" s="21">
        <f t="shared" si="26"/>
        <v>0.02</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0.03</v>
      </c>
      <c r="F111" s="635"/>
      <c r="G111" s="21">
        <f t="shared" si="25"/>
        <v>0.2</v>
      </c>
      <c r="H111" s="635"/>
      <c r="I111" s="21">
        <f t="shared" si="26"/>
        <v>0.02</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0.03</v>
      </c>
      <c r="F112" s="635"/>
      <c r="G112" s="21">
        <f t="shared" si="25"/>
        <v>0.2</v>
      </c>
      <c r="H112" s="635"/>
      <c r="I112" s="21">
        <f t="shared" si="26"/>
        <v>0.02</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0.03</v>
      </c>
      <c r="F113" s="635"/>
      <c r="G113" s="21">
        <f t="shared" si="25"/>
        <v>0.2</v>
      </c>
      <c r="H113" s="635"/>
      <c r="I113" s="21">
        <f t="shared" si="26"/>
        <v>0.02</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0.03</v>
      </c>
      <c r="F114" s="635"/>
      <c r="G114" s="21">
        <f t="shared" si="25"/>
        <v>0.2</v>
      </c>
      <c r="H114" s="635"/>
      <c r="I114" s="21">
        <f t="shared" si="26"/>
        <v>0.02</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0.03</v>
      </c>
      <c r="F115" s="635"/>
      <c r="G115" s="21">
        <f t="shared" si="25"/>
        <v>0.2</v>
      </c>
      <c r="H115" s="635"/>
      <c r="I115" s="21">
        <f t="shared" si="26"/>
        <v>0.02</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0.03</v>
      </c>
      <c r="F116" s="635"/>
      <c r="G116" s="21">
        <f t="shared" si="25"/>
        <v>0.2</v>
      </c>
      <c r="H116" s="635"/>
      <c r="I116" s="21">
        <f t="shared" si="26"/>
        <v>0.02</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0.03</v>
      </c>
      <c r="F117" s="635"/>
      <c r="G117" s="21">
        <f t="shared" si="25"/>
        <v>0.2</v>
      </c>
      <c r="H117" s="635"/>
      <c r="I117" s="21">
        <f t="shared" si="26"/>
        <v>0.02</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0.03</v>
      </c>
      <c r="F118" s="635"/>
      <c r="G118" s="21">
        <f t="shared" si="25"/>
        <v>0.2</v>
      </c>
      <c r="H118" s="635"/>
      <c r="I118" s="21">
        <f t="shared" si="26"/>
        <v>0.02</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0.03</v>
      </c>
      <c r="F119" s="635"/>
      <c r="G119" s="21">
        <f t="shared" si="25"/>
        <v>0.2</v>
      </c>
      <c r="H119" s="635"/>
      <c r="I119" s="21">
        <f t="shared" si="26"/>
        <v>0.02</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0.03</v>
      </c>
      <c r="F120" s="635"/>
      <c r="G120" s="21">
        <f t="shared" si="25"/>
        <v>0.2</v>
      </c>
      <c r="H120" s="635"/>
      <c r="I120" s="21">
        <f t="shared" si="26"/>
        <v>0.02</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0.03</v>
      </c>
      <c r="F121" s="635"/>
      <c r="G121" s="21">
        <f t="shared" si="25"/>
        <v>0.2</v>
      </c>
      <c r="H121" s="635"/>
      <c r="I121" s="21">
        <f t="shared" si="26"/>
        <v>0.02</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0.03</v>
      </c>
      <c r="F122" s="635"/>
      <c r="G122" s="21">
        <f t="shared" si="25"/>
        <v>0.2</v>
      </c>
      <c r="H122" s="635"/>
      <c r="I122" s="21">
        <f t="shared" si="26"/>
        <v>0.02</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0.03</v>
      </c>
      <c r="F123" s="635"/>
      <c r="G123" s="21">
        <f t="shared" si="25"/>
        <v>0.2</v>
      </c>
      <c r="H123" s="635"/>
      <c r="I123" s="21">
        <f t="shared" si="26"/>
        <v>0.02</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0.03</v>
      </c>
      <c r="F124" s="635"/>
      <c r="G124" s="21">
        <f t="shared" si="25"/>
        <v>0.2</v>
      </c>
      <c r="H124" s="635"/>
      <c r="I124" s="21">
        <f t="shared" si="26"/>
        <v>0.02</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0.03</v>
      </c>
      <c r="F125" s="635"/>
      <c r="G125" s="21">
        <f t="shared" si="25"/>
        <v>0.2</v>
      </c>
      <c r="H125" s="635"/>
      <c r="I125" s="21">
        <f t="shared" si="26"/>
        <v>0.02</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0.03</v>
      </c>
      <c r="F126" s="635"/>
      <c r="G126" s="21">
        <f t="shared" si="25"/>
        <v>0.2</v>
      </c>
      <c r="H126" s="635"/>
      <c r="I126" s="21">
        <f t="shared" si="26"/>
        <v>0.02</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0.03</v>
      </c>
      <c r="F127" s="635"/>
      <c r="G127" s="21">
        <f t="shared" si="25"/>
        <v>0.2</v>
      </c>
      <c r="H127" s="635"/>
      <c r="I127" s="21">
        <f t="shared" si="26"/>
        <v>0.02</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0.03</v>
      </c>
      <c r="F128" s="635"/>
      <c r="G128" s="21">
        <f t="shared" si="25"/>
        <v>0.2</v>
      </c>
      <c r="H128" s="635"/>
      <c r="I128" s="21">
        <f t="shared" si="26"/>
        <v>0.02</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0.03</v>
      </c>
      <c r="F129" s="635"/>
      <c r="G129" s="21">
        <f t="shared" si="25"/>
        <v>0.2</v>
      </c>
      <c r="H129" s="635"/>
      <c r="I129" s="21">
        <f t="shared" si="26"/>
        <v>0.02</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0.03</v>
      </c>
      <c r="F130" s="635"/>
      <c r="G130" s="21">
        <f t="shared" si="25"/>
        <v>0.2</v>
      </c>
      <c r="H130" s="635"/>
      <c r="I130" s="21">
        <f t="shared" si="26"/>
        <v>0.02</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0.03</v>
      </c>
      <c r="F131" s="635"/>
      <c r="G131" s="21">
        <f t="shared" si="25"/>
        <v>0.2</v>
      </c>
      <c r="H131" s="635"/>
      <c r="I131" s="21">
        <f t="shared" si="26"/>
        <v>0.02</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0.03</v>
      </c>
      <c r="F132" s="635"/>
      <c r="G132" s="21">
        <f t="shared" si="25"/>
        <v>0.2</v>
      </c>
      <c r="H132" s="635"/>
      <c r="I132" s="21">
        <f t="shared" si="26"/>
        <v>0.02</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0.03</v>
      </c>
      <c r="F133" s="635"/>
      <c r="G133" s="21">
        <f t="shared" si="25"/>
        <v>0.2</v>
      </c>
      <c r="H133" s="635"/>
      <c r="I133" s="21">
        <f t="shared" si="26"/>
        <v>0.02</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0.03</v>
      </c>
      <c r="F134" s="635"/>
      <c r="G134" s="21">
        <f t="shared" si="25"/>
        <v>0.2</v>
      </c>
      <c r="H134" s="635"/>
      <c r="I134" s="21">
        <f t="shared" si="26"/>
        <v>0.02</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0.03</v>
      </c>
      <c r="F135" s="635"/>
      <c r="G135" s="21">
        <f t="shared" si="25"/>
        <v>0.2</v>
      </c>
      <c r="H135" s="635"/>
      <c r="I135" s="21">
        <f t="shared" si="26"/>
        <v>0.02</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0.03</v>
      </c>
      <c r="F136" s="635"/>
      <c r="G136" s="21">
        <f t="shared" si="25"/>
        <v>0.2</v>
      </c>
      <c r="H136" s="635"/>
      <c r="I136" s="21">
        <f t="shared" si="26"/>
        <v>0.02</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0.03</v>
      </c>
      <c r="F137" s="635"/>
      <c r="G137" s="21">
        <f t="shared" si="25"/>
        <v>0.2</v>
      </c>
      <c r="H137" s="635"/>
      <c r="I137" s="21">
        <f t="shared" si="26"/>
        <v>0.02</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0.03</v>
      </c>
      <c r="F138" s="635"/>
      <c r="G138" s="21">
        <f t="shared" si="25"/>
        <v>0.2</v>
      </c>
      <c r="H138" s="635"/>
      <c r="I138" s="21">
        <f t="shared" si="26"/>
        <v>0.02</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0.03</v>
      </c>
      <c r="F139" s="635"/>
      <c r="G139" s="21">
        <f t="shared" si="25"/>
        <v>0.2</v>
      </c>
      <c r="H139" s="635"/>
      <c r="I139" s="21">
        <f t="shared" si="26"/>
        <v>0.02</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0.03</v>
      </c>
      <c r="F140" s="635"/>
      <c r="G140" s="21">
        <f t="shared" si="25"/>
        <v>0.2</v>
      </c>
      <c r="H140" s="635"/>
      <c r="I140" s="21">
        <f t="shared" si="26"/>
        <v>0.02</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0.03</v>
      </c>
      <c r="F141" s="635"/>
      <c r="G141" s="21">
        <f t="shared" si="25"/>
        <v>0.2</v>
      </c>
      <c r="H141" s="635"/>
      <c r="I141" s="21">
        <f t="shared" si="26"/>
        <v>0.02</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0.03</v>
      </c>
      <c r="F142" s="635"/>
      <c r="G142" s="21">
        <f t="shared" si="25"/>
        <v>0.2</v>
      </c>
      <c r="H142" s="635"/>
      <c r="I142" s="21">
        <f t="shared" si="26"/>
        <v>0.02</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0.03</v>
      </c>
      <c r="F143" s="635"/>
      <c r="G143" s="21">
        <f t="shared" si="25"/>
        <v>0.2</v>
      </c>
      <c r="H143" s="635"/>
      <c r="I143" s="21">
        <f t="shared" si="26"/>
        <v>0.02</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0.03</v>
      </c>
      <c r="F144" s="635"/>
      <c r="G144" s="21">
        <f t="shared" si="25"/>
        <v>0.2</v>
      </c>
      <c r="H144" s="635"/>
      <c r="I144" s="21">
        <f t="shared" si="26"/>
        <v>0.02</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0.03</v>
      </c>
      <c r="F145" s="635"/>
      <c r="G145" s="21">
        <f t="shared" si="25"/>
        <v>0.2</v>
      </c>
      <c r="H145" s="635"/>
      <c r="I145" s="21">
        <f t="shared" si="26"/>
        <v>0.02</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0.03</v>
      </c>
      <c r="F146" s="635"/>
      <c r="G146" s="21">
        <f t="shared" si="25"/>
        <v>0.2</v>
      </c>
      <c r="H146" s="635"/>
      <c r="I146" s="21">
        <f t="shared" si="26"/>
        <v>0.02</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0.03</v>
      </c>
      <c r="F147" s="635"/>
      <c r="G147" s="21">
        <f t="shared" si="25"/>
        <v>0.2</v>
      </c>
      <c r="H147" s="635"/>
      <c r="I147" s="21">
        <f t="shared" si="26"/>
        <v>0.02</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0.03</v>
      </c>
      <c r="F148" s="635"/>
      <c r="G148" s="21">
        <f t="shared" si="25"/>
        <v>0.2</v>
      </c>
      <c r="H148" s="635"/>
      <c r="I148" s="21">
        <f t="shared" si="26"/>
        <v>0.02</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0.03</v>
      </c>
      <c r="F149" s="635"/>
      <c r="G149" s="21">
        <f t="shared" si="25"/>
        <v>0.2</v>
      </c>
      <c r="H149" s="635"/>
      <c r="I149" s="21">
        <f t="shared" si="26"/>
        <v>0.02</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0.03</v>
      </c>
      <c r="F150" s="635"/>
      <c r="G150" s="21">
        <f t="shared" si="25"/>
        <v>0.2</v>
      </c>
      <c r="H150" s="635"/>
      <c r="I150" s="21">
        <f t="shared" si="26"/>
        <v>0.02</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0.03</v>
      </c>
      <c r="F151" s="635"/>
      <c r="G151" s="21">
        <f t="shared" si="25"/>
        <v>0.2</v>
      </c>
      <c r="H151" s="635"/>
      <c r="I151" s="21">
        <f t="shared" si="26"/>
        <v>0.02</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0.03</v>
      </c>
      <c r="F152" s="635"/>
      <c r="G152" s="21">
        <f t="shared" si="25"/>
        <v>0.2</v>
      </c>
      <c r="H152" s="635"/>
      <c r="I152" s="21">
        <f t="shared" si="26"/>
        <v>0.02</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0.03</v>
      </c>
      <c r="F153" s="635"/>
      <c r="G153" s="21">
        <f t="shared" si="25"/>
        <v>0.2</v>
      </c>
      <c r="H153" s="635"/>
      <c r="I153" s="21">
        <f t="shared" si="26"/>
        <v>0.02</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0.03</v>
      </c>
      <c r="F154" s="635"/>
      <c r="G154" s="21">
        <f t="shared" ref="G154:G217" si="35">(SUMIF($7:$7,F154,$8:$8)-SUMIF($7:$7,$F$24,$8:$8)+100)/100</f>
        <v>0.2</v>
      </c>
      <c r="H154" s="635"/>
      <c r="I154" s="21">
        <f t="shared" ref="I154:I217" si="36">(SUMIF($9:$9,H154,$10:$10)-SUMIF($9:$9,$H$24,$10:$10)+100)/100</f>
        <v>0.02</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0.03</v>
      </c>
      <c r="F155" s="635"/>
      <c r="G155" s="21">
        <f t="shared" si="35"/>
        <v>0.2</v>
      </c>
      <c r="H155" s="635"/>
      <c r="I155" s="21">
        <f t="shared" si="36"/>
        <v>0.02</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0.03</v>
      </c>
      <c r="F156" s="635"/>
      <c r="G156" s="21">
        <f t="shared" si="35"/>
        <v>0.2</v>
      </c>
      <c r="H156" s="635"/>
      <c r="I156" s="21">
        <f t="shared" si="36"/>
        <v>0.02</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0.03</v>
      </c>
      <c r="F157" s="635"/>
      <c r="G157" s="21">
        <f t="shared" si="35"/>
        <v>0.2</v>
      </c>
      <c r="H157" s="635"/>
      <c r="I157" s="21">
        <f t="shared" si="36"/>
        <v>0.02</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0.03</v>
      </c>
      <c r="F158" s="635"/>
      <c r="G158" s="21">
        <f t="shared" si="35"/>
        <v>0.2</v>
      </c>
      <c r="H158" s="635"/>
      <c r="I158" s="21">
        <f t="shared" si="36"/>
        <v>0.02</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0.03</v>
      </c>
      <c r="F159" s="635"/>
      <c r="G159" s="21">
        <f t="shared" si="35"/>
        <v>0.2</v>
      </c>
      <c r="H159" s="635"/>
      <c r="I159" s="21">
        <f t="shared" si="36"/>
        <v>0.02</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0.03</v>
      </c>
      <c r="F160" s="635"/>
      <c r="G160" s="21">
        <f t="shared" si="35"/>
        <v>0.2</v>
      </c>
      <c r="H160" s="635"/>
      <c r="I160" s="21">
        <f t="shared" si="36"/>
        <v>0.02</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0.03</v>
      </c>
      <c r="F161" s="635"/>
      <c r="G161" s="21">
        <f t="shared" si="35"/>
        <v>0.2</v>
      </c>
      <c r="H161" s="635"/>
      <c r="I161" s="21">
        <f t="shared" si="36"/>
        <v>0.02</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0.03</v>
      </c>
      <c r="F162" s="635"/>
      <c r="G162" s="21">
        <f t="shared" si="35"/>
        <v>0.2</v>
      </c>
      <c r="H162" s="635"/>
      <c r="I162" s="21">
        <f t="shared" si="36"/>
        <v>0.02</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0.03</v>
      </c>
      <c r="F163" s="635"/>
      <c r="G163" s="21">
        <f t="shared" si="35"/>
        <v>0.2</v>
      </c>
      <c r="H163" s="635"/>
      <c r="I163" s="21">
        <f t="shared" si="36"/>
        <v>0.02</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0.03</v>
      </c>
      <c r="F164" s="635"/>
      <c r="G164" s="21">
        <f t="shared" si="35"/>
        <v>0.2</v>
      </c>
      <c r="H164" s="635"/>
      <c r="I164" s="21">
        <f t="shared" si="36"/>
        <v>0.02</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0.03</v>
      </c>
      <c r="F165" s="635"/>
      <c r="G165" s="21">
        <f t="shared" si="35"/>
        <v>0.2</v>
      </c>
      <c r="H165" s="635"/>
      <c r="I165" s="21">
        <f t="shared" si="36"/>
        <v>0.02</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0.03</v>
      </c>
      <c r="F166" s="635"/>
      <c r="G166" s="21">
        <f t="shared" si="35"/>
        <v>0.2</v>
      </c>
      <c r="H166" s="635"/>
      <c r="I166" s="21">
        <f t="shared" si="36"/>
        <v>0.02</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0.03</v>
      </c>
      <c r="F167" s="635"/>
      <c r="G167" s="21">
        <f t="shared" si="35"/>
        <v>0.2</v>
      </c>
      <c r="H167" s="635"/>
      <c r="I167" s="21">
        <f t="shared" si="36"/>
        <v>0.02</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0.03</v>
      </c>
      <c r="F168" s="635"/>
      <c r="G168" s="21">
        <f t="shared" si="35"/>
        <v>0.2</v>
      </c>
      <c r="H168" s="635"/>
      <c r="I168" s="21">
        <f t="shared" si="36"/>
        <v>0.02</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0.03</v>
      </c>
      <c r="F169" s="635"/>
      <c r="G169" s="21">
        <f t="shared" si="35"/>
        <v>0.2</v>
      </c>
      <c r="H169" s="635"/>
      <c r="I169" s="21">
        <f t="shared" si="36"/>
        <v>0.02</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0.03</v>
      </c>
      <c r="F170" s="635"/>
      <c r="G170" s="21">
        <f t="shared" si="35"/>
        <v>0.2</v>
      </c>
      <c r="H170" s="635"/>
      <c r="I170" s="21">
        <f t="shared" si="36"/>
        <v>0.02</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0.03</v>
      </c>
      <c r="F171" s="635"/>
      <c r="G171" s="21">
        <f t="shared" si="35"/>
        <v>0.2</v>
      </c>
      <c r="H171" s="635"/>
      <c r="I171" s="21">
        <f t="shared" si="36"/>
        <v>0.02</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0.03</v>
      </c>
      <c r="F172" s="635"/>
      <c r="G172" s="21">
        <f t="shared" si="35"/>
        <v>0.2</v>
      </c>
      <c r="H172" s="635"/>
      <c r="I172" s="21">
        <f t="shared" si="36"/>
        <v>0.02</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0.03</v>
      </c>
      <c r="F173" s="635"/>
      <c r="G173" s="21">
        <f t="shared" si="35"/>
        <v>0.2</v>
      </c>
      <c r="H173" s="635"/>
      <c r="I173" s="21">
        <f t="shared" si="36"/>
        <v>0.02</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0.03</v>
      </c>
      <c r="F174" s="635"/>
      <c r="G174" s="21">
        <f t="shared" si="35"/>
        <v>0.2</v>
      </c>
      <c r="H174" s="635"/>
      <c r="I174" s="21">
        <f t="shared" si="36"/>
        <v>0.02</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0.03</v>
      </c>
      <c r="F175" s="635"/>
      <c r="G175" s="21">
        <f t="shared" si="35"/>
        <v>0.2</v>
      </c>
      <c r="H175" s="635"/>
      <c r="I175" s="21">
        <f t="shared" si="36"/>
        <v>0.02</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0.03</v>
      </c>
      <c r="F176" s="635"/>
      <c r="G176" s="21">
        <f t="shared" si="35"/>
        <v>0.2</v>
      </c>
      <c r="H176" s="635"/>
      <c r="I176" s="21">
        <f t="shared" si="36"/>
        <v>0.02</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0.03</v>
      </c>
      <c r="F177" s="635"/>
      <c r="G177" s="21">
        <f t="shared" si="35"/>
        <v>0.2</v>
      </c>
      <c r="H177" s="635"/>
      <c r="I177" s="21">
        <f t="shared" si="36"/>
        <v>0.02</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0.03</v>
      </c>
      <c r="F178" s="635"/>
      <c r="G178" s="21">
        <f t="shared" si="35"/>
        <v>0.2</v>
      </c>
      <c r="H178" s="635"/>
      <c r="I178" s="21">
        <f t="shared" si="36"/>
        <v>0.02</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0.03</v>
      </c>
      <c r="F179" s="635"/>
      <c r="G179" s="21">
        <f t="shared" si="35"/>
        <v>0.2</v>
      </c>
      <c r="H179" s="635"/>
      <c r="I179" s="21">
        <f t="shared" si="36"/>
        <v>0.02</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0.03</v>
      </c>
      <c r="F180" s="635"/>
      <c r="G180" s="21">
        <f t="shared" si="35"/>
        <v>0.2</v>
      </c>
      <c r="H180" s="635"/>
      <c r="I180" s="21">
        <f t="shared" si="36"/>
        <v>0.02</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0.03</v>
      </c>
      <c r="F181" s="635"/>
      <c r="G181" s="21">
        <f t="shared" si="35"/>
        <v>0.2</v>
      </c>
      <c r="H181" s="635"/>
      <c r="I181" s="21">
        <f t="shared" si="36"/>
        <v>0.02</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0.03</v>
      </c>
      <c r="F182" s="635"/>
      <c r="G182" s="21">
        <f t="shared" si="35"/>
        <v>0.2</v>
      </c>
      <c r="H182" s="635"/>
      <c r="I182" s="21">
        <f t="shared" si="36"/>
        <v>0.02</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0.03</v>
      </c>
      <c r="F183" s="635"/>
      <c r="G183" s="21">
        <f t="shared" si="35"/>
        <v>0.2</v>
      </c>
      <c r="H183" s="635"/>
      <c r="I183" s="21">
        <f t="shared" si="36"/>
        <v>0.02</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0.03</v>
      </c>
      <c r="F184" s="635"/>
      <c r="G184" s="21">
        <f t="shared" si="35"/>
        <v>0.2</v>
      </c>
      <c r="H184" s="635"/>
      <c r="I184" s="21">
        <f t="shared" si="36"/>
        <v>0.02</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0.03</v>
      </c>
      <c r="F185" s="635"/>
      <c r="G185" s="21">
        <f t="shared" si="35"/>
        <v>0.2</v>
      </c>
      <c r="H185" s="635"/>
      <c r="I185" s="21">
        <f t="shared" si="36"/>
        <v>0.02</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0.03</v>
      </c>
      <c r="F186" s="635"/>
      <c r="G186" s="21">
        <f t="shared" si="35"/>
        <v>0.2</v>
      </c>
      <c r="H186" s="635"/>
      <c r="I186" s="21">
        <f t="shared" si="36"/>
        <v>0.02</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0.03</v>
      </c>
      <c r="F187" s="635"/>
      <c r="G187" s="21">
        <f t="shared" si="35"/>
        <v>0.2</v>
      </c>
      <c r="H187" s="635"/>
      <c r="I187" s="21">
        <f t="shared" si="36"/>
        <v>0.02</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0.03</v>
      </c>
      <c r="F188" s="635"/>
      <c r="G188" s="21">
        <f t="shared" si="35"/>
        <v>0.2</v>
      </c>
      <c r="H188" s="635"/>
      <c r="I188" s="21">
        <f t="shared" si="36"/>
        <v>0.02</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0.03</v>
      </c>
      <c r="F189" s="635"/>
      <c r="G189" s="21">
        <f t="shared" si="35"/>
        <v>0.2</v>
      </c>
      <c r="H189" s="635"/>
      <c r="I189" s="21">
        <f t="shared" si="36"/>
        <v>0.02</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0.03</v>
      </c>
      <c r="F190" s="635"/>
      <c r="G190" s="21">
        <f t="shared" si="35"/>
        <v>0.2</v>
      </c>
      <c r="H190" s="635"/>
      <c r="I190" s="21">
        <f t="shared" si="36"/>
        <v>0.02</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0.03</v>
      </c>
      <c r="F191" s="635"/>
      <c r="G191" s="21">
        <f t="shared" si="35"/>
        <v>0.2</v>
      </c>
      <c r="H191" s="635"/>
      <c r="I191" s="21">
        <f t="shared" si="36"/>
        <v>0.02</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0.03</v>
      </c>
      <c r="F192" s="635"/>
      <c r="G192" s="21">
        <f t="shared" si="35"/>
        <v>0.2</v>
      </c>
      <c r="H192" s="635"/>
      <c r="I192" s="21">
        <f t="shared" si="36"/>
        <v>0.02</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0.03</v>
      </c>
      <c r="F193" s="635"/>
      <c r="G193" s="21">
        <f t="shared" si="35"/>
        <v>0.2</v>
      </c>
      <c r="H193" s="635"/>
      <c r="I193" s="21">
        <f t="shared" si="36"/>
        <v>0.02</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0.03</v>
      </c>
      <c r="F194" s="635"/>
      <c r="G194" s="21">
        <f t="shared" si="35"/>
        <v>0.2</v>
      </c>
      <c r="H194" s="635"/>
      <c r="I194" s="21">
        <f t="shared" si="36"/>
        <v>0.02</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0.03</v>
      </c>
      <c r="F195" s="635"/>
      <c r="G195" s="21">
        <f t="shared" si="35"/>
        <v>0.2</v>
      </c>
      <c r="H195" s="635"/>
      <c r="I195" s="21">
        <f t="shared" si="36"/>
        <v>0.02</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0.03</v>
      </c>
      <c r="F196" s="635"/>
      <c r="G196" s="21">
        <f t="shared" si="35"/>
        <v>0.2</v>
      </c>
      <c r="H196" s="635"/>
      <c r="I196" s="21">
        <f t="shared" si="36"/>
        <v>0.02</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0.03</v>
      </c>
      <c r="F197" s="635"/>
      <c r="G197" s="21">
        <f t="shared" si="35"/>
        <v>0.2</v>
      </c>
      <c r="H197" s="635"/>
      <c r="I197" s="21">
        <f t="shared" si="36"/>
        <v>0.02</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0.03</v>
      </c>
      <c r="F198" s="635"/>
      <c r="G198" s="21">
        <f t="shared" si="35"/>
        <v>0.2</v>
      </c>
      <c r="H198" s="635"/>
      <c r="I198" s="21">
        <f t="shared" si="36"/>
        <v>0.02</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0.03</v>
      </c>
      <c r="F199" s="635"/>
      <c r="G199" s="21">
        <f t="shared" si="35"/>
        <v>0.2</v>
      </c>
      <c r="H199" s="635"/>
      <c r="I199" s="21">
        <f t="shared" si="36"/>
        <v>0.02</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0.03</v>
      </c>
      <c r="F200" s="635"/>
      <c r="G200" s="21">
        <f t="shared" si="35"/>
        <v>0.2</v>
      </c>
      <c r="H200" s="635"/>
      <c r="I200" s="21">
        <f t="shared" si="36"/>
        <v>0.02</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0.03</v>
      </c>
      <c r="F201" s="635"/>
      <c r="G201" s="21">
        <f t="shared" si="35"/>
        <v>0.2</v>
      </c>
      <c r="H201" s="635"/>
      <c r="I201" s="21">
        <f t="shared" si="36"/>
        <v>0.02</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0.03</v>
      </c>
      <c r="F202" s="635"/>
      <c r="G202" s="21">
        <f t="shared" si="35"/>
        <v>0.2</v>
      </c>
      <c r="H202" s="635"/>
      <c r="I202" s="21">
        <f t="shared" si="36"/>
        <v>0.02</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0.03</v>
      </c>
      <c r="F203" s="635"/>
      <c r="G203" s="21">
        <f t="shared" si="35"/>
        <v>0.2</v>
      </c>
      <c r="H203" s="635"/>
      <c r="I203" s="21">
        <f t="shared" si="36"/>
        <v>0.02</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0.03</v>
      </c>
      <c r="F204" s="635"/>
      <c r="G204" s="21">
        <f t="shared" si="35"/>
        <v>0.2</v>
      </c>
      <c r="H204" s="635"/>
      <c r="I204" s="21">
        <f t="shared" si="36"/>
        <v>0.02</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0.03</v>
      </c>
      <c r="F205" s="635"/>
      <c r="G205" s="21">
        <f t="shared" si="35"/>
        <v>0.2</v>
      </c>
      <c r="H205" s="635"/>
      <c r="I205" s="21">
        <f t="shared" si="36"/>
        <v>0.02</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0.03</v>
      </c>
      <c r="F206" s="635"/>
      <c r="G206" s="21">
        <f t="shared" si="35"/>
        <v>0.2</v>
      </c>
      <c r="H206" s="635"/>
      <c r="I206" s="21">
        <f t="shared" si="36"/>
        <v>0.02</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0.03</v>
      </c>
      <c r="F207" s="635"/>
      <c r="G207" s="21">
        <f t="shared" si="35"/>
        <v>0.2</v>
      </c>
      <c r="H207" s="635"/>
      <c r="I207" s="21">
        <f t="shared" si="36"/>
        <v>0.02</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0.03</v>
      </c>
      <c r="F208" s="635"/>
      <c r="G208" s="21">
        <f t="shared" si="35"/>
        <v>0.2</v>
      </c>
      <c r="H208" s="635"/>
      <c r="I208" s="21">
        <f t="shared" si="36"/>
        <v>0.02</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0.03</v>
      </c>
      <c r="F209" s="635"/>
      <c r="G209" s="21">
        <f t="shared" si="35"/>
        <v>0.2</v>
      </c>
      <c r="H209" s="635"/>
      <c r="I209" s="21">
        <f t="shared" si="36"/>
        <v>0.02</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0.03</v>
      </c>
      <c r="F210" s="635"/>
      <c r="G210" s="21">
        <f t="shared" si="35"/>
        <v>0.2</v>
      </c>
      <c r="H210" s="635"/>
      <c r="I210" s="21">
        <f t="shared" si="36"/>
        <v>0.02</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0.03</v>
      </c>
      <c r="F211" s="635"/>
      <c r="G211" s="21">
        <f t="shared" si="35"/>
        <v>0.2</v>
      </c>
      <c r="H211" s="635"/>
      <c r="I211" s="21">
        <f t="shared" si="36"/>
        <v>0.02</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0.03</v>
      </c>
      <c r="F212" s="635"/>
      <c r="G212" s="21">
        <f t="shared" si="35"/>
        <v>0.2</v>
      </c>
      <c r="H212" s="635"/>
      <c r="I212" s="21">
        <f t="shared" si="36"/>
        <v>0.02</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0.03</v>
      </c>
      <c r="F213" s="635"/>
      <c r="G213" s="21">
        <f t="shared" si="35"/>
        <v>0.2</v>
      </c>
      <c r="H213" s="635"/>
      <c r="I213" s="21">
        <f t="shared" si="36"/>
        <v>0.02</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0.03</v>
      </c>
      <c r="F214" s="635"/>
      <c r="G214" s="21">
        <f t="shared" si="35"/>
        <v>0.2</v>
      </c>
      <c r="H214" s="635"/>
      <c r="I214" s="21">
        <f t="shared" si="36"/>
        <v>0.02</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0.03</v>
      </c>
      <c r="F215" s="635"/>
      <c r="G215" s="21">
        <f t="shared" si="35"/>
        <v>0.2</v>
      </c>
      <c r="H215" s="635"/>
      <c r="I215" s="21">
        <f t="shared" si="36"/>
        <v>0.02</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0.03</v>
      </c>
      <c r="F216" s="635"/>
      <c r="G216" s="21">
        <f t="shared" si="35"/>
        <v>0.2</v>
      </c>
      <c r="H216" s="635"/>
      <c r="I216" s="21">
        <f t="shared" si="36"/>
        <v>0.02</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0.03</v>
      </c>
      <c r="F217" s="635"/>
      <c r="G217" s="21">
        <f t="shared" si="35"/>
        <v>0.2</v>
      </c>
      <c r="H217" s="635"/>
      <c r="I217" s="21">
        <f t="shared" si="36"/>
        <v>0.02</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0.03</v>
      </c>
      <c r="F218" s="635"/>
      <c r="G218" s="21">
        <f t="shared" ref="G218:G281" si="45">(SUMIF($7:$7,F218,$8:$8)-SUMIF($7:$7,$F$24,$8:$8)+100)/100</f>
        <v>0.2</v>
      </c>
      <c r="H218" s="635"/>
      <c r="I218" s="21">
        <f t="shared" ref="I218:I281" si="46">(SUMIF($9:$9,H218,$10:$10)-SUMIF($9:$9,$H$24,$10:$10)+100)/100</f>
        <v>0.02</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0.03</v>
      </c>
      <c r="F219" s="635"/>
      <c r="G219" s="21">
        <f t="shared" si="45"/>
        <v>0.2</v>
      </c>
      <c r="H219" s="635"/>
      <c r="I219" s="21">
        <f t="shared" si="46"/>
        <v>0.02</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0.03</v>
      </c>
      <c r="F220" s="635"/>
      <c r="G220" s="21">
        <f t="shared" si="45"/>
        <v>0.2</v>
      </c>
      <c r="H220" s="635"/>
      <c r="I220" s="21">
        <f t="shared" si="46"/>
        <v>0.02</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0.03</v>
      </c>
      <c r="F221" s="635"/>
      <c r="G221" s="21">
        <f t="shared" si="45"/>
        <v>0.2</v>
      </c>
      <c r="H221" s="635"/>
      <c r="I221" s="21">
        <f t="shared" si="46"/>
        <v>0.02</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0.03</v>
      </c>
      <c r="F222" s="635"/>
      <c r="G222" s="21">
        <f t="shared" si="45"/>
        <v>0.2</v>
      </c>
      <c r="H222" s="635"/>
      <c r="I222" s="21">
        <f t="shared" si="46"/>
        <v>0.02</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0.03</v>
      </c>
      <c r="F223" s="635"/>
      <c r="G223" s="21">
        <f t="shared" si="45"/>
        <v>0.2</v>
      </c>
      <c r="H223" s="635"/>
      <c r="I223" s="21">
        <f t="shared" si="46"/>
        <v>0.02</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0.03</v>
      </c>
      <c r="F224" s="635"/>
      <c r="G224" s="21">
        <f t="shared" si="45"/>
        <v>0.2</v>
      </c>
      <c r="H224" s="635"/>
      <c r="I224" s="21">
        <f t="shared" si="46"/>
        <v>0.02</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0.03</v>
      </c>
      <c r="F225" s="635"/>
      <c r="G225" s="21">
        <f t="shared" si="45"/>
        <v>0.2</v>
      </c>
      <c r="H225" s="635"/>
      <c r="I225" s="21">
        <f t="shared" si="46"/>
        <v>0.02</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0.03</v>
      </c>
      <c r="F226" s="635"/>
      <c r="G226" s="21">
        <f t="shared" si="45"/>
        <v>0.2</v>
      </c>
      <c r="H226" s="635"/>
      <c r="I226" s="21">
        <f t="shared" si="46"/>
        <v>0.02</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0.03</v>
      </c>
      <c r="F227" s="635"/>
      <c r="G227" s="21">
        <f t="shared" si="45"/>
        <v>0.2</v>
      </c>
      <c r="H227" s="635"/>
      <c r="I227" s="21">
        <f t="shared" si="46"/>
        <v>0.02</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0.03</v>
      </c>
      <c r="F228" s="635"/>
      <c r="G228" s="21">
        <f t="shared" si="45"/>
        <v>0.2</v>
      </c>
      <c r="H228" s="635"/>
      <c r="I228" s="21">
        <f t="shared" si="46"/>
        <v>0.02</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0.03</v>
      </c>
      <c r="F229" s="635"/>
      <c r="G229" s="21">
        <f t="shared" si="45"/>
        <v>0.2</v>
      </c>
      <c r="H229" s="635"/>
      <c r="I229" s="21">
        <f t="shared" si="46"/>
        <v>0.02</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0.03</v>
      </c>
      <c r="F230" s="635"/>
      <c r="G230" s="21">
        <f t="shared" si="45"/>
        <v>0.2</v>
      </c>
      <c r="H230" s="635"/>
      <c r="I230" s="21">
        <f t="shared" si="46"/>
        <v>0.02</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0.03</v>
      </c>
      <c r="F231" s="635"/>
      <c r="G231" s="21">
        <f t="shared" si="45"/>
        <v>0.2</v>
      </c>
      <c r="H231" s="635"/>
      <c r="I231" s="21">
        <f t="shared" si="46"/>
        <v>0.02</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0.03</v>
      </c>
      <c r="F232" s="635"/>
      <c r="G232" s="21">
        <f t="shared" si="45"/>
        <v>0.2</v>
      </c>
      <c r="H232" s="635"/>
      <c r="I232" s="21">
        <f t="shared" si="46"/>
        <v>0.02</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0.03</v>
      </c>
      <c r="F233" s="635"/>
      <c r="G233" s="21">
        <f t="shared" si="45"/>
        <v>0.2</v>
      </c>
      <c r="H233" s="635"/>
      <c r="I233" s="21">
        <f t="shared" si="46"/>
        <v>0.02</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0.03</v>
      </c>
      <c r="F234" s="635"/>
      <c r="G234" s="21">
        <f t="shared" si="45"/>
        <v>0.2</v>
      </c>
      <c r="H234" s="635"/>
      <c r="I234" s="21">
        <f t="shared" si="46"/>
        <v>0.02</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0.03</v>
      </c>
      <c r="F235" s="635"/>
      <c r="G235" s="21">
        <f t="shared" si="45"/>
        <v>0.2</v>
      </c>
      <c r="H235" s="635"/>
      <c r="I235" s="21">
        <f t="shared" si="46"/>
        <v>0.02</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0.03</v>
      </c>
      <c r="F236" s="635"/>
      <c r="G236" s="21">
        <f t="shared" si="45"/>
        <v>0.2</v>
      </c>
      <c r="H236" s="635"/>
      <c r="I236" s="21">
        <f t="shared" si="46"/>
        <v>0.02</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0.03</v>
      </c>
      <c r="F237" s="635"/>
      <c r="G237" s="21">
        <f t="shared" si="45"/>
        <v>0.2</v>
      </c>
      <c r="H237" s="635"/>
      <c r="I237" s="21">
        <f t="shared" si="46"/>
        <v>0.02</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0.03</v>
      </c>
      <c r="F238" s="635"/>
      <c r="G238" s="21">
        <f t="shared" si="45"/>
        <v>0.2</v>
      </c>
      <c r="H238" s="635"/>
      <c r="I238" s="21">
        <f t="shared" si="46"/>
        <v>0.02</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0.03</v>
      </c>
      <c r="F239" s="635"/>
      <c r="G239" s="21">
        <f t="shared" si="45"/>
        <v>0.2</v>
      </c>
      <c r="H239" s="635"/>
      <c r="I239" s="21">
        <f t="shared" si="46"/>
        <v>0.02</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0.03</v>
      </c>
      <c r="F240" s="635"/>
      <c r="G240" s="21">
        <f t="shared" si="45"/>
        <v>0.2</v>
      </c>
      <c r="H240" s="635"/>
      <c r="I240" s="21">
        <f t="shared" si="46"/>
        <v>0.02</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0.03</v>
      </c>
      <c r="F241" s="635"/>
      <c r="G241" s="21">
        <f t="shared" si="45"/>
        <v>0.2</v>
      </c>
      <c r="H241" s="635"/>
      <c r="I241" s="21">
        <f t="shared" si="46"/>
        <v>0.02</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0.03</v>
      </c>
      <c r="F242" s="635"/>
      <c r="G242" s="21">
        <f t="shared" si="45"/>
        <v>0.2</v>
      </c>
      <c r="H242" s="635"/>
      <c r="I242" s="21">
        <f t="shared" si="46"/>
        <v>0.02</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0.03</v>
      </c>
      <c r="F243" s="635"/>
      <c r="G243" s="21">
        <f t="shared" si="45"/>
        <v>0.2</v>
      </c>
      <c r="H243" s="635"/>
      <c r="I243" s="21">
        <f t="shared" si="46"/>
        <v>0.02</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0.03</v>
      </c>
      <c r="F244" s="635"/>
      <c r="G244" s="21">
        <f t="shared" si="45"/>
        <v>0.2</v>
      </c>
      <c r="H244" s="635"/>
      <c r="I244" s="21">
        <f t="shared" si="46"/>
        <v>0.02</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0.03</v>
      </c>
      <c r="F245" s="635"/>
      <c r="G245" s="21">
        <f t="shared" si="45"/>
        <v>0.2</v>
      </c>
      <c r="H245" s="635"/>
      <c r="I245" s="21">
        <f t="shared" si="46"/>
        <v>0.02</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0.03</v>
      </c>
      <c r="F246" s="635"/>
      <c r="G246" s="21">
        <f t="shared" si="45"/>
        <v>0.2</v>
      </c>
      <c r="H246" s="635"/>
      <c r="I246" s="21">
        <f t="shared" si="46"/>
        <v>0.02</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0.03</v>
      </c>
      <c r="F247" s="635"/>
      <c r="G247" s="21">
        <f t="shared" si="45"/>
        <v>0.2</v>
      </c>
      <c r="H247" s="635"/>
      <c r="I247" s="21">
        <f t="shared" si="46"/>
        <v>0.02</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0.03</v>
      </c>
      <c r="F248" s="635"/>
      <c r="G248" s="21">
        <f t="shared" si="45"/>
        <v>0.2</v>
      </c>
      <c r="H248" s="635"/>
      <c r="I248" s="21">
        <f t="shared" si="46"/>
        <v>0.02</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0.03</v>
      </c>
      <c r="F249" s="635"/>
      <c r="G249" s="21">
        <f t="shared" si="45"/>
        <v>0.2</v>
      </c>
      <c r="H249" s="635"/>
      <c r="I249" s="21">
        <f t="shared" si="46"/>
        <v>0.02</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0.03</v>
      </c>
      <c r="F250" s="635"/>
      <c r="G250" s="21">
        <f t="shared" si="45"/>
        <v>0.2</v>
      </c>
      <c r="H250" s="635"/>
      <c r="I250" s="21">
        <f t="shared" si="46"/>
        <v>0.02</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0.03</v>
      </c>
      <c r="F251" s="635"/>
      <c r="G251" s="21">
        <f t="shared" si="45"/>
        <v>0.2</v>
      </c>
      <c r="H251" s="635"/>
      <c r="I251" s="21">
        <f t="shared" si="46"/>
        <v>0.02</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0.03</v>
      </c>
      <c r="F252" s="635"/>
      <c r="G252" s="21">
        <f t="shared" si="45"/>
        <v>0.2</v>
      </c>
      <c r="H252" s="635"/>
      <c r="I252" s="21">
        <f t="shared" si="46"/>
        <v>0.02</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0.03</v>
      </c>
      <c r="F253" s="635"/>
      <c r="G253" s="21">
        <f t="shared" si="45"/>
        <v>0.2</v>
      </c>
      <c r="H253" s="635"/>
      <c r="I253" s="21">
        <f t="shared" si="46"/>
        <v>0.02</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0.03</v>
      </c>
      <c r="F254" s="635"/>
      <c r="G254" s="21">
        <f t="shared" si="45"/>
        <v>0.2</v>
      </c>
      <c r="H254" s="635"/>
      <c r="I254" s="21">
        <f t="shared" si="46"/>
        <v>0.02</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0.03</v>
      </c>
      <c r="F255" s="635"/>
      <c r="G255" s="21">
        <f t="shared" si="45"/>
        <v>0.2</v>
      </c>
      <c r="H255" s="635"/>
      <c r="I255" s="21">
        <f t="shared" si="46"/>
        <v>0.02</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0.03</v>
      </c>
      <c r="F256" s="635"/>
      <c r="G256" s="21">
        <f t="shared" si="45"/>
        <v>0.2</v>
      </c>
      <c r="H256" s="635"/>
      <c r="I256" s="21">
        <f t="shared" si="46"/>
        <v>0.02</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0.03</v>
      </c>
      <c r="F257" s="635"/>
      <c r="G257" s="21">
        <f t="shared" si="45"/>
        <v>0.2</v>
      </c>
      <c r="H257" s="635"/>
      <c r="I257" s="21">
        <f t="shared" si="46"/>
        <v>0.02</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0.03</v>
      </c>
      <c r="F258" s="635"/>
      <c r="G258" s="21">
        <f t="shared" si="45"/>
        <v>0.2</v>
      </c>
      <c r="H258" s="635"/>
      <c r="I258" s="21">
        <f t="shared" si="46"/>
        <v>0.02</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0.03</v>
      </c>
      <c r="F259" s="635"/>
      <c r="G259" s="21">
        <f t="shared" si="45"/>
        <v>0.2</v>
      </c>
      <c r="H259" s="635"/>
      <c r="I259" s="21">
        <f t="shared" si="46"/>
        <v>0.02</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0.03</v>
      </c>
      <c r="F260" s="635"/>
      <c r="G260" s="21">
        <f t="shared" si="45"/>
        <v>0.2</v>
      </c>
      <c r="H260" s="635"/>
      <c r="I260" s="21">
        <f t="shared" si="46"/>
        <v>0.02</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0.03</v>
      </c>
      <c r="F261" s="635"/>
      <c r="G261" s="21">
        <f t="shared" si="45"/>
        <v>0.2</v>
      </c>
      <c r="H261" s="635"/>
      <c r="I261" s="21">
        <f t="shared" si="46"/>
        <v>0.02</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0.03</v>
      </c>
      <c r="F262" s="635"/>
      <c r="G262" s="21">
        <f t="shared" si="45"/>
        <v>0.2</v>
      </c>
      <c r="H262" s="635"/>
      <c r="I262" s="21">
        <f t="shared" si="46"/>
        <v>0.02</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0.03</v>
      </c>
      <c r="F263" s="635"/>
      <c r="G263" s="21">
        <f t="shared" si="45"/>
        <v>0.2</v>
      </c>
      <c r="H263" s="635"/>
      <c r="I263" s="21">
        <f t="shared" si="46"/>
        <v>0.02</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0.03</v>
      </c>
      <c r="F264" s="635"/>
      <c r="G264" s="21">
        <f t="shared" si="45"/>
        <v>0.2</v>
      </c>
      <c r="H264" s="635"/>
      <c r="I264" s="21">
        <f t="shared" si="46"/>
        <v>0.02</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0.03</v>
      </c>
      <c r="F265" s="635"/>
      <c r="G265" s="21">
        <f t="shared" si="45"/>
        <v>0.2</v>
      </c>
      <c r="H265" s="635"/>
      <c r="I265" s="21">
        <f t="shared" si="46"/>
        <v>0.02</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0.03</v>
      </c>
      <c r="F266" s="635"/>
      <c r="G266" s="21">
        <f t="shared" si="45"/>
        <v>0.2</v>
      </c>
      <c r="H266" s="635"/>
      <c r="I266" s="21">
        <f t="shared" si="46"/>
        <v>0.02</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0.03</v>
      </c>
      <c r="F267" s="635"/>
      <c r="G267" s="21">
        <f t="shared" si="45"/>
        <v>0.2</v>
      </c>
      <c r="H267" s="635"/>
      <c r="I267" s="21">
        <f t="shared" si="46"/>
        <v>0.02</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0.03</v>
      </c>
      <c r="F268" s="635"/>
      <c r="G268" s="21">
        <f t="shared" si="45"/>
        <v>0.2</v>
      </c>
      <c r="H268" s="635"/>
      <c r="I268" s="21">
        <f t="shared" si="46"/>
        <v>0.02</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0.03</v>
      </c>
      <c r="F269" s="635"/>
      <c r="G269" s="21">
        <f t="shared" si="45"/>
        <v>0.2</v>
      </c>
      <c r="H269" s="635"/>
      <c r="I269" s="21">
        <f t="shared" si="46"/>
        <v>0.02</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0.03</v>
      </c>
      <c r="F270" s="635"/>
      <c r="G270" s="21">
        <f t="shared" si="45"/>
        <v>0.2</v>
      </c>
      <c r="H270" s="635"/>
      <c r="I270" s="21">
        <f t="shared" si="46"/>
        <v>0.02</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0.03</v>
      </c>
      <c r="F271" s="635"/>
      <c r="G271" s="21">
        <f t="shared" si="45"/>
        <v>0.2</v>
      </c>
      <c r="H271" s="635"/>
      <c r="I271" s="21">
        <f t="shared" si="46"/>
        <v>0.02</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0.03</v>
      </c>
      <c r="F272" s="635"/>
      <c r="G272" s="21">
        <f t="shared" si="45"/>
        <v>0.2</v>
      </c>
      <c r="H272" s="635"/>
      <c r="I272" s="21">
        <f t="shared" si="46"/>
        <v>0.02</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0.03</v>
      </c>
      <c r="F273" s="635"/>
      <c r="G273" s="21">
        <f t="shared" si="45"/>
        <v>0.2</v>
      </c>
      <c r="H273" s="635"/>
      <c r="I273" s="21">
        <f t="shared" si="46"/>
        <v>0.02</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0.03</v>
      </c>
      <c r="F274" s="635"/>
      <c r="G274" s="21">
        <f t="shared" si="45"/>
        <v>0.2</v>
      </c>
      <c r="H274" s="635"/>
      <c r="I274" s="21">
        <f t="shared" si="46"/>
        <v>0.02</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0.03</v>
      </c>
      <c r="F275" s="635"/>
      <c r="G275" s="21">
        <f t="shared" si="45"/>
        <v>0.2</v>
      </c>
      <c r="H275" s="635"/>
      <c r="I275" s="21">
        <f t="shared" si="46"/>
        <v>0.02</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0.03</v>
      </c>
      <c r="F276" s="635"/>
      <c r="G276" s="21">
        <f t="shared" si="45"/>
        <v>0.2</v>
      </c>
      <c r="H276" s="635"/>
      <c r="I276" s="21">
        <f t="shared" si="46"/>
        <v>0.02</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0.03</v>
      </c>
      <c r="F277" s="635"/>
      <c r="G277" s="21">
        <f t="shared" si="45"/>
        <v>0.2</v>
      </c>
      <c r="H277" s="635"/>
      <c r="I277" s="21">
        <f t="shared" si="46"/>
        <v>0.02</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0.03</v>
      </c>
      <c r="F278" s="635"/>
      <c r="G278" s="21">
        <f t="shared" si="45"/>
        <v>0.2</v>
      </c>
      <c r="H278" s="635"/>
      <c r="I278" s="21">
        <f t="shared" si="46"/>
        <v>0.02</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0.03</v>
      </c>
      <c r="F279" s="635"/>
      <c r="G279" s="21">
        <f t="shared" si="45"/>
        <v>0.2</v>
      </c>
      <c r="H279" s="635"/>
      <c r="I279" s="21">
        <f t="shared" si="46"/>
        <v>0.02</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0.03</v>
      </c>
      <c r="F280" s="635"/>
      <c r="G280" s="21">
        <f t="shared" si="45"/>
        <v>0.2</v>
      </c>
      <c r="H280" s="635"/>
      <c r="I280" s="21">
        <f t="shared" si="46"/>
        <v>0.02</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0.03</v>
      </c>
      <c r="F281" s="635"/>
      <c r="G281" s="21">
        <f t="shared" si="45"/>
        <v>0.2</v>
      </c>
      <c r="H281" s="635"/>
      <c r="I281" s="21">
        <f t="shared" si="46"/>
        <v>0.02</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0.03</v>
      </c>
      <c r="F282" s="635"/>
      <c r="G282" s="21">
        <f t="shared" ref="G282:G345" si="55">(SUMIF($7:$7,F282,$8:$8)-SUMIF($7:$7,$F$24,$8:$8)+100)/100</f>
        <v>0.2</v>
      </c>
      <c r="H282" s="635"/>
      <c r="I282" s="21">
        <f t="shared" ref="I282:I345" si="56">(SUMIF($9:$9,H282,$10:$10)-SUMIF($9:$9,$H$24,$10:$10)+100)/100</f>
        <v>0.02</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0.03</v>
      </c>
      <c r="F283" s="635"/>
      <c r="G283" s="21">
        <f t="shared" si="55"/>
        <v>0.2</v>
      </c>
      <c r="H283" s="635"/>
      <c r="I283" s="21">
        <f t="shared" si="56"/>
        <v>0.02</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0.03</v>
      </c>
      <c r="F284" s="635"/>
      <c r="G284" s="21">
        <f t="shared" si="55"/>
        <v>0.2</v>
      </c>
      <c r="H284" s="635"/>
      <c r="I284" s="21">
        <f t="shared" si="56"/>
        <v>0.02</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0.03</v>
      </c>
      <c r="F285" s="635"/>
      <c r="G285" s="21">
        <f t="shared" si="55"/>
        <v>0.2</v>
      </c>
      <c r="H285" s="635"/>
      <c r="I285" s="21">
        <f t="shared" si="56"/>
        <v>0.02</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0.03</v>
      </c>
      <c r="F286" s="635"/>
      <c r="G286" s="21">
        <f t="shared" si="55"/>
        <v>0.2</v>
      </c>
      <c r="H286" s="635"/>
      <c r="I286" s="21">
        <f t="shared" si="56"/>
        <v>0.02</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0.03</v>
      </c>
      <c r="F287" s="635"/>
      <c r="G287" s="21">
        <f t="shared" si="55"/>
        <v>0.2</v>
      </c>
      <c r="H287" s="635"/>
      <c r="I287" s="21">
        <f t="shared" si="56"/>
        <v>0.02</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0.03</v>
      </c>
      <c r="F288" s="635"/>
      <c r="G288" s="21">
        <f t="shared" si="55"/>
        <v>0.2</v>
      </c>
      <c r="H288" s="635"/>
      <c r="I288" s="21">
        <f t="shared" si="56"/>
        <v>0.02</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0.03</v>
      </c>
      <c r="F289" s="635"/>
      <c r="G289" s="21">
        <f t="shared" si="55"/>
        <v>0.2</v>
      </c>
      <c r="H289" s="635"/>
      <c r="I289" s="21">
        <f t="shared" si="56"/>
        <v>0.02</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0.03</v>
      </c>
      <c r="F290" s="635"/>
      <c r="G290" s="21">
        <f t="shared" si="55"/>
        <v>0.2</v>
      </c>
      <c r="H290" s="635"/>
      <c r="I290" s="21">
        <f t="shared" si="56"/>
        <v>0.02</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0.03</v>
      </c>
      <c r="F291" s="635"/>
      <c r="G291" s="21">
        <f t="shared" si="55"/>
        <v>0.2</v>
      </c>
      <c r="H291" s="635"/>
      <c r="I291" s="21">
        <f t="shared" si="56"/>
        <v>0.02</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0.03</v>
      </c>
      <c r="F292" s="635"/>
      <c r="G292" s="21">
        <f t="shared" si="55"/>
        <v>0.2</v>
      </c>
      <c r="H292" s="635"/>
      <c r="I292" s="21">
        <f t="shared" si="56"/>
        <v>0.02</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0.03</v>
      </c>
      <c r="F293" s="635"/>
      <c r="G293" s="21">
        <f t="shared" si="55"/>
        <v>0.2</v>
      </c>
      <c r="H293" s="635"/>
      <c r="I293" s="21">
        <f t="shared" si="56"/>
        <v>0.02</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0.03</v>
      </c>
      <c r="F294" s="635"/>
      <c r="G294" s="21">
        <f t="shared" si="55"/>
        <v>0.2</v>
      </c>
      <c r="H294" s="635"/>
      <c r="I294" s="21">
        <f t="shared" si="56"/>
        <v>0.02</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0.03</v>
      </c>
      <c r="F295" s="635"/>
      <c r="G295" s="21">
        <f t="shared" si="55"/>
        <v>0.2</v>
      </c>
      <c r="H295" s="635"/>
      <c r="I295" s="21">
        <f t="shared" si="56"/>
        <v>0.02</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0.03</v>
      </c>
      <c r="F296" s="635"/>
      <c r="G296" s="21">
        <f t="shared" si="55"/>
        <v>0.2</v>
      </c>
      <c r="H296" s="635"/>
      <c r="I296" s="21">
        <f t="shared" si="56"/>
        <v>0.02</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0.03</v>
      </c>
      <c r="F297" s="635"/>
      <c r="G297" s="21">
        <f t="shared" si="55"/>
        <v>0.2</v>
      </c>
      <c r="H297" s="635"/>
      <c r="I297" s="21">
        <f t="shared" si="56"/>
        <v>0.02</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0.03</v>
      </c>
      <c r="F298" s="635"/>
      <c r="G298" s="21">
        <f t="shared" si="55"/>
        <v>0.2</v>
      </c>
      <c r="H298" s="635"/>
      <c r="I298" s="21">
        <f t="shared" si="56"/>
        <v>0.02</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0.03</v>
      </c>
      <c r="F299" s="635"/>
      <c r="G299" s="21">
        <f t="shared" si="55"/>
        <v>0.2</v>
      </c>
      <c r="H299" s="635"/>
      <c r="I299" s="21">
        <f t="shared" si="56"/>
        <v>0.02</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0.03</v>
      </c>
      <c r="F300" s="635"/>
      <c r="G300" s="21">
        <f t="shared" si="55"/>
        <v>0.2</v>
      </c>
      <c r="H300" s="635"/>
      <c r="I300" s="21">
        <f t="shared" si="56"/>
        <v>0.02</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0.03</v>
      </c>
      <c r="F301" s="635"/>
      <c r="G301" s="21">
        <f t="shared" si="55"/>
        <v>0.2</v>
      </c>
      <c r="H301" s="635"/>
      <c r="I301" s="21">
        <f t="shared" si="56"/>
        <v>0.02</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0.03</v>
      </c>
      <c r="F302" s="635"/>
      <c r="G302" s="21">
        <f t="shared" si="55"/>
        <v>0.2</v>
      </c>
      <c r="H302" s="635"/>
      <c r="I302" s="21">
        <f t="shared" si="56"/>
        <v>0.02</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0.03</v>
      </c>
      <c r="F303" s="635"/>
      <c r="G303" s="21">
        <f t="shared" si="55"/>
        <v>0.2</v>
      </c>
      <c r="H303" s="635"/>
      <c r="I303" s="21">
        <f t="shared" si="56"/>
        <v>0.02</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0.03</v>
      </c>
      <c r="F304" s="635"/>
      <c r="G304" s="21">
        <f t="shared" si="55"/>
        <v>0.2</v>
      </c>
      <c r="H304" s="635"/>
      <c r="I304" s="21">
        <f t="shared" si="56"/>
        <v>0.02</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0.03</v>
      </c>
      <c r="F305" s="635"/>
      <c r="G305" s="21">
        <f t="shared" si="55"/>
        <v>0.2</v>
      </c>
      <c r="H305" s="635"/>
      <c r="I305" s="21">
        <f t="shared" si="56"/>
        <v>0.02</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0.03</v>
      </c>
      <c r="F306" s="635"/>
      <c r="G306" s="21">
        <f t="shared" si="55"/>
        <v>0.2</v>
      </c>
      <c r="H306" s="635"/>
      <c r="I306" s="21">
        <f t="shared" si="56"/>
        <v>0.02</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0.03</v>
      </c>
      <c r="F307" s="635"/>
      <c r="G307" s="21">
        <f t="shared" si="55"/>
        <v>0.2</v>
      </c>
      <c r="H307" s="635"/>
      <c r="I307" s="21">
        <f t="shared" si="56"/>
        <v>0.02</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0.03</v>
      </c>
      <c r="F308" s="635"/>
      <c r="G308" s="21">
        <f t="shared" si="55"/>
        <v>0.2</v>
      </c>
      <c r="H308" s="635"/>
      <c r="I308" s="21">
        <f t="shared" si="56"/>
        <v>0.02</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0.03</v>
      </c>
      <c r="F309" s="635"/>
      <c r="G309" s="21">
        <f t="shared" si="55"/>
        <v>0.2</v>
      </c>
      <c r="H309" s="635"/>
      <c r="I309" s="21">
        <f t="shared" si="56"/>
        <v>0.02</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0.03</v>
      </c>
      <c r="F310" s="635"/>
      <c r="G310" s="21">
        <f t="shared" si="55"/>
        <v>0.2</v>
      </c>
      <c r="H310" s="635"/>
      <c r="I310" s="21">
        <f t="shared" si="56"/>
        <v>0.02</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0.03</v>
      </c>
      <c r="F311" s="635"/>
      <c r="G311" s="21">
        <f t="shared" si="55"/>
        <v>0.2</v>
      </c>
      <c r="H311" s="635"/>
      <c r="I311" s="21">
        <f t="shared" si="56"/>
        <v>0.02</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0.03</v>
      </c>
      <c r="F312" s="635"/>
      <c r="G312" s="21">
        <f t="shared" si="55"/>
        <v>0.2</v>
      </c>
      <c r="H312" s="635"/>
      <c r="I312" s="21">
        <f t="shared" si="56"/>
        <v>0.02</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0.03</v>
      </c>
      <c r="F313" s="635"/>
      <c r="G313" s="21">
        <f t="shared" si="55"/>
        <v>0.2</v>
      </c>
      <c r="H313" s="635"/>
      <c r="I313" s="21">
        <f t="shared" si="56"/>
        <v>0.02</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0.03</v>
      </c>
      <c r="F314" s="635"/>
      <c r="G314" s="21">
        <f t="shared" si="55"/>
        <v>0.2</v>
      </c>
      <c r="H314" s="635"/>
      <c r="I314" s="21">
        <f t="shared" si="56"/>
        <v>0.02</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0.03</v>
      </c>
      <c r="F315" s="635"/>
      <c r="G315" s="21">
        <f t="shared" si="55"/>
        <v>0.2</v>
      </c>
      <c r="H315" s="635"/>
      <c r="I315" s="21">
        <f t="shared" si="56"/>
        <v>0.02</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0.03</v>
      </c>
      <c r="F316" s="635"/>
      <c r="G316" s="21">
        <f t="shared" si="55"/>
        <v>0.2</v>
      </c>
      <c r="H316" s="635"/>
      <c r="I316" s="21">
        <f t="shared" si="56"/>
        <v>0.02</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0.03</v>
      </c>
      <c r="F317" s="635"/>
      <c r="G317" s="21">
        <f t="shared" si="55"/>
        <v>0.2</v>
      </c>
      <c r="H317" s="635"/>
      <c r="I317" s="21">
        <f t="shared" si="56"/>
        <v>0.02</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0.03</v>
      </c>
      <c r="F318" s="635"/>
      <c r="G318" s="21">
        <f t="shared" si="55"/>
        <v>0.2</v>
      </c>
      <c r="H318" s="635"/>
      <c r="I318" s="21">
        <f t="shared" si="56"/>
        <v>0.02</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0.03</v>
      </c>
      <c r="F319" s="635"/>
      <c r="G319" s="21">
        <f t="shared" si="55"/>
        <v>0.2</v>
      </c>
      <c r="H319" s="635"/>
      <c r="I319" s="21">
        <f t="shared" si="56"/>
        <v>0.02</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0.03</v>
      </c>
      <c r="F320" s="635"/>
      <c r="G320" s="21">
        <f t="shared" si="55"/>
        <v>0.2</v>
      </c>
      <c r="H320" s="635"/>
      <c r="I320" s="21">
        <f t="shared" si="56"/>
        <v>0.02</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0.03</v>
      </c>
      <c r="F321" s="635"/>
      <c r="G321" s="21">
        <f t="shared" si="55"/>
        <v>0.2</v>
      </c>
      <c r="H321" s="635"/>
      <c r="I321" s="21">
        <f t="shared" si="56"/>
        <v>0.02</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0.03</v>
      </c>
      <c r="F322" s="635"/>
      <c r="G322" s="21">
        <f t="shared" si="55"/>
        <v>0.2</v>
      </c>
      <c r="H322" s="635"/>
      <c r="I322" s="21">
        <f t="shared" si="56"/>
        <v>0.02</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0.03</v>
      </c>
      <c r="F323" s="635"/>
      <c r="G323" s="21">
        <f t="shared" si="55"/>
        <v>0.2</v>
      </c>
      <c r="H323" s="635"/>
      <c r="I323" s="21">
        <f t="shared" si="56"/>
        <v>0.02</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0.03</v>
      </c>
      <c r="F324" s="635"/>
      <c r="G324" s="21">
        <f t="shared" si="55"/>
        <v>0.2</v>
      </c>
      <c r="H324" s="635"/>
      <c r="I324" s="21">
        <f t="shared" si="56"/>
        <v>0.02</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0.03</v>
      </c>
      <c r="F325" s="635"/>
      <c r="G325" s="21">
        <f t="shared" si="55"/>
        <v>0.2</v>
      </c>
      <c r="H325" s="635"/>
      <c r="I325" s="21">
        <f t="shared" si="56"/>
        <v>0.02</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0.03</v>
      </c>
      <c r="F326" s="635"/>
      <c r="G326" s="21">
        <f t="shared" si="55"/>
        <v>0.2</v>
      </c>
      <c r="H326" s="635"/>
      <c r="I326" s="21">
        <f t="shared" si="56"/>
        <v>0.02</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0.03</v>
      </c>
      <c r="F327" s="635"/>
      <c r="G327" s="21">
        <f t="shared" si="55"/>
        <v>0.2</v>
      </c>
      <c r="H327" s="635"/>
      <c r="I327" s="21">
        <f t="shared" si="56"/>
        <v>0.02</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0.03</v>
      </c>
      <c r="F328" s="635"/>
      <c r="G328" s="21">
        <f t="shared" si="55"/>
        <v>0.2</v>
      </c>
      <c r="H328" s="635"/>
      <c r="I328" s="21">
        <f t="shared" si="56"/>
        <v>0.02</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0.03</v>
      </c>
      <c r="F329" s="635"/>
      <c r="G329" s="21">
        <f t="shared" si="55"/>
        <v>0.2</v>
      </c>
      <c r="H329" s="635"/>
      <c r="I329" s="21">
        <f t="shared" si="56"/>
        <v>0.02</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0.03</v>
      </c>
      <c r="F330" s="635"/>
      <c r="G330" s="21">
        <f t="shared" si="55"/>
        <v>0.2</v>
      </c>
      <c r="H330" s="635"/>
      <c r="I330" s="21">
        <f t="shared" si="56"/>
        <v>0.02</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0.03</v>
      </c>
      <c r="F331" s="635"/>
      <c r="G331" s="21">
        <f t="shared" si="55"/>
        <v>0.2</v>
      </c>
      <c r="H331" s="635"/>
      <c r="I331" s="21">
        <f t="shared" si="56"/>
        <v>0.02</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0.03</v>
      </c>
      <c r="F332" s="635"/>
      <c r="G332" s="21">
        <f t="shared" si="55"/>
        <v>0.2</v>
      </c>
      <c r="H332" s="635"/>
      <c r="I332" s="21">
        <f t="shared" si="56"/>
        <v>0.02</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0.03</v>
      </c>
      <c r="F333" s="635"/>
      <c r="G333" s="21">
        <f t="shared" si="55"/>
        <v>0.2</v>
      </c>
      <c r="H333" s="635"/>
      <c r="I333" s="21">
        <f t="shared" si="56"/>
        <v>0.02</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0.03</v>
      </c>
      <c r="F334" s="635"/>
      <c r="G334" s="21">
        <f t="shared" si="55"/>
        <v>0.2</v>
      </c>
      <c r="H334" s="635"/>
      <c r="I334" s="21">
        <f t="shared" si="56"/>
        <v>0.02</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0.03</v>
      </c>
      <c r="F335" s="635"/>
      <c r="G335" s="21">
        <f t="shared" si="55"/>
        <v>0.2</v>
      </c>
      <c r="H335" s="635"/>
      <c r="I335" s="21">
        <f t="shared" si="56"/>
        <v>0.02</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0.03</v>
      </c>
      <c r="F336" s="635"/>
      <c r="G336" s="21">
        <f t="shared" si="55"/>
        <v>0.2</v>
      </c>
      <c r="H336" s="635"/>
      <c r="I336" s="21">
        <f t="shared" si="56"/>
        <v>0.02</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0.03</v>
      </c>
      <c r="F337" s="635"/>
      <c r="G337" s="21">
        <f t="shared" si="55"/>
        <v>0.2</v>
      </c>
      <c r="H337" s="635"/>
      <c r="I337" s="21">
        <f t="shared" si="56"/>
        <v>0.02</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0.03</v>
      </c>
      <c r="F338" s="635"/>
      <c r="G338" s="21">
        <f t="shared" si="55"/>
        <v>0.2</v>
      </c>
      <c r="H338" s="635"/>
      <c r="I338" s="21">
        <f t="shared" si="56"/>
        <v>0.02</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0.03</v>
      </c>
      <c r="F339" s="635"/>
      <c r="G339" s="21">
        <f t="shared" si="55"/>
        <v>0.2</v>
      </c>
      <c r="H339" s="635"/>
      <c r="I339" s="21">
        <f t="shared" si="56"/>
        <v>0.02</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0.03</v>
      </c>
      <c r="F340" s="635"/>
      <c r="G340" s="21">
        <f t="shared" si="55"/>
        <v>0.2</v>
      </c>
      <c r="H340" s="635"/>
      <c r="I340" s="21">
        <f t="shared" si="56"/>
        <v>0.02</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0.03</v>
      </c>
      <c r="F341" s="635"/>
      <c r="G341" s="21">
        <f t="shared" si="55"/>
        <v>0.2</v>
      </c>
      <c r="H341" s="635"/>
      <c r="I341" s="21">
        <f t="shared" si="56"/>
        <v>0.02</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0.03</v>
      </c>
      <c r="F342" s="635"/>
      <c r="G342" s="21">
        <f t="shared" si="55"/>
        <v>0.2</v>
      </c>
      <c r="H342" s="635"/>
      <c r="I342" s="21">
        <f t="shared" si="56"/>
        <v>0.02</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0.03</v>
      </c>
      <c r="F343" s="635"/>
      <c r="G343" s="21">
        <f t="shared" si="55"/>
        <v>0.2</v>
      </c>
      <c r="H343" s="635"/>
      <c r="I343" s="21">
        <f t="shared" si="56"/>
        <v>0.02</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0.03</v>
      </c>
      <c r="F344" s="635"/>
      <c r="G344" s="21">
        <f t="shared" si="55"/>
        <v>0.2</v>
      </c>
      <c r="H344" s="635"/>
      <c r="I344" s="21">
        <f t="shared" si="56"/>
        <v>0.02</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0.03</v>
      </c>
      <c r="F345" s="635"/>
      <c r="G345" s="21">
        <f t="shared" si="55"/>
        <v>0.2</v>
      </c>
      <c r="H345" s="635"/>
      <c r="I345" s="21">
        <f t="shared" si="56"/>
        <v>0.02</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0.03</v>
      </c>
      <c r="F346" s="635"/>
      <c r="G346" s="21">
        <f t="shared" ref="G346:G409" si="66">(SUMIF($7:$7,F346,$8:$8)-SUMIF($7:$7,$F$24,$8:$8)+100)/100</f>
        <v>0.2</v>
      </c>
      <c r="H346" s="635"/>
      <c r="I346" s="21">
        <f t="shared" ref="I346:I409" si="67">(SUMIF($9:$9,H346,$10:$10)-SUMIF($9:$9,$H$24,$10:$10)+100)/100</f>
        <v>0.02</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0.03</v>
      </c>
      <c r="F347" s="635"/>
      <c r="G347" s="21">
        <f t="shared" si="66"/>
        <v>0.2</v>
      </c>
      <c r="H347" s="635"/>
      <c r="I347" s="21">
        <f t="shared" si="67"/>
        <v>0.02</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0.03</v>
      </c>
      <c r="F348" s="635"/>
      <c r="G348" s="21">
        <f t="shared" si="66"/>
        <v>0.2</v>
      </c>
      <c r="H348" s="635"/>
      <c r="I348" s="21">
        <f t="shared" si="67"/>
        <v>0.02</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0.03</v>
      </c>
      <c r="F349" s="635"/>
      <c r="G349" s="21">
        <f t="shared" si="66"/>
        <v>0.2</v>
      </c>
      <c r="H349" s="635"/>
      <c r="I349" s="21">
        <f t="shared" si="67"/>
        <v>0.02</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0.03</v>
      </c>
      <c r="F350" s="635"/>
      <c r="G350" s="21">
        <f t="shared" si="66"/>
        <v>0.2</v>
      </c>
      <c r="H350" s="635"/>
      <c r="I350" s="21">
        <f t="shared" si="67"/>
        <v>0.02</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0.03</v>
      </c>
      <c r="F351" s="635"/>
      <c r="G351" s="21">
        <f t="shared" si="66"/>
        <v>0.2</v>
      </c>
      <c r="H351" s="635"/>
      <c r="I351" s="21">
        <f t="shared" si="67"/>
        <v>0.02</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0.03</v>
      </c>
      <c r="F352" s="635"/>
      <c r="G352" s="21">
        <f t="shared" si="66"/>
        <v>0.2</v>
      </c>
      <c r="H352" s="635"/>
      <c r="I352" s="21">
        <f t="shared" si="67"/>
        <v>0.02</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0.03</v>
      </c>
      <c r="F353" s="635"/>
      <c r="G353" s="21">
        <f t="shared" si="66"/>
        <v>0.2</v>
      </c>
      <c r="H353" s="635"/>
      <c r="I353" s="21">
        <f t="shared" si="67"/>
        <v>0.02</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0.03</v>
      </c>
      <c r="F354" s="635"/>
      <c r="G354" s="21">
        <f t="shared" si="66"/>
        <v>0.2</v>
      </c>
      <c r="H354" s="635"/>
      <c r="I354" s="21">
        <f t="shared" si="67"/>
        <v>0.02</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0.03</v>
      </c>
      <c r="F355" s="635"/>
      <c r="G355" s="21">
        <f t="shared" si="66"/>
        <v>0.2</v>
      </c>
      <c r="H355" s="635"/>
      <c r="I355" s="21">
        <f t="shared" si="67"/>
        <v>0.02</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0.03</v>
      </c>
      <c r="F356" s="635"/>
      <c r="G356" s="21">
        <f t="shared" si="66"/>
        <v>0.2</v>
      </c>
      <c r="H356" s="635"/>
      <c r="I356" s="21">
        <f t="shared" si="67"/>
        <v>0.02</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0.03</v>
      </c>
      <c r="F357" s="635"/>
      <c r="G357" s="21">
        <f t="shared" si="66"/>
        <v>0.2</v>
      </c>
      <c r="H357" s="635"/>
      <c r="I357" s="21">
        <f t="shared" si="67"/>
        <v>0.02</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0.03</v>
      </c>
      <c r="F358" s="635"/>
      <c r="G358" s="21">
        <f t="shared" si="66"/>
        <v>0.2</v>
      </c>
      <c r="H358" s="635"/>
      <c r="I358" s="21">
        <f t="shared" si="67"/>
        <v>0.02</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0.03</v>
      </c>
      <c r="F359" s="635"/>
      <c r="G359" s="21">
        <f t="shared" si="66"/>
        <v>0.2</v>
      </c>
      <c r="H359" s="635"/>
      <c r="I359" s="21">
        <f t="shared" si="67"/>
        <v>0.02</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0.03</v>
      </c>
      <c r="F360" s="635"/>
      <c r="G360" s="21">
        <f t="shared" si="66"/>
        <v>0.2</v>
      </c>
      <c r="H360" s="635"/>
      <c r="I360" s="21">
        <f t="shared" si="67"/>
        <v>0.02</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0.03</v>
      </c>
      <c r="F361" s="635"/>
      <c r="G361" s="21">
        <f t="shared" si="66"/>
        <v>0.2</v>
      </c>
      <c r="H361" s="635"/>
      <c r="I361" s="21">
        <f t="shared" si="67"/>
        <v>0.02</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0.03</v>
      </c>
      <c r="F362" s="635"/>
      <c r="G362" s="21">
        <f t="shared" si="66"/>
        <v>0.2</v>
      </c>
      <c r="H362" s="635"/>
      <c r="I362" s="21">
        <f t="shared" si="67"/>
        <v>0.02</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0.03</v>
      </c>
      <c r="F363" s="635"/>
      <c r="G363" s="21">
        <f t="shared" si="66"/>
        <v>0.2</v>
      </c>
      <c r="H363" s="635"/>
      <c r="I363" s="21">
        <f t="shared" si="67"/>
        <v>0.02</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0.03</v>
      </c>
      <c r="F364" s="635"/>
      <c r="G364" s="21">
        <f t="shared" si="66"/>
        <v>0.2</v>
      </c>
      <c r="H364" s="635"/>
      <c r="I364" s="21">
        <f t="shared" si="67"/>
        <v>0.02</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0.03</v>
      </c>
      <c r="F365" s="635"/>
      <c r="G365" s="21">
        <f t="shared" si="66"/>
        <v>0.2</v>
      </c>
      <c r="H365" s="635"/>
      <c r="I365" s="21">
        <f t="shared" si="67"/>
        <v>0.02</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0.03</v>
      </c>
      <c r="F366" s="635"/>
      <c r="G366" s="21">
        <f t="shared" si="66"/>
        <v>0.2</v>
      </c>
      <c r="H366" s="635"/>
      <c r="I366" s="21">
        <f t="shared" si="67"/>
        <v>0.02</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0.03</v>
      </c>
      <c r="F367" s="635"/>
      <c r="G367" s="21">
        <f t="shared" si="66"/>
        <v>0.2</v>
      </c>
      <c r="H367" s="635"/>
      <c r="I367" s="21">
        <f t="shared" si="67"/>
        <v>0.02</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0.03</v>
      </c>
      <c r="F368" s="635"/>
      <c r="G368" s="21">
        <f t="shared" si="66"/>
        <v>0.2</v>
      </c>
      <c r="H368" s="635"/>
      <c r="I368" s="21">
        <f t="shared" si="67"/>
        <v>0.02</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0.03</v>
      </c>
      <c r="F369" s="635"/>
      <c r="G369" s="21">
        <f t="shared" si="66"/>
        <v>0.2</v>
      </c>
      <c r="H369" s="635"/>
      <c r="I369" s="21">
        <f t="shared" si="67"/>
        <v>0.02</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0.03</v>
      </c>
      <c r="F370" s="635"/>
      <c r="G370" s="21">
        <f t="shared" si="66"/>
        <v>0.2</v>
      </c>
      <c r="H370" s="635"/>
      <c r="I370" s="21">
        <f t="shared" si="67"/>
        <v>0.02</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0.03</v>
      </c>
      <c r="F371" s="635"/>
      <c r="G371" s="21">
        <f t="shared" si="66"/>
        <v>0.2</v>
      </c>
      <c r="H371" s="635"/>
      <c r="I371" s="21">
        <f t="shared" si="67"/>
        <v>0.02</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0.03</v>
      </c>
      <c r="F372" s="635"/>
      <c r="G372" s="21">
        <f t="shared" si="66"/>
        <v>0.2</v>
      </c>
      <c r="H372" s="635"/>
      <c r="I372" s="21">
        <f t="shared" si="67"/>
        <v>0.02</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0.03</v>
      </c>
      <c r="F373" s="635"/>
      <c r="G373" s="21">
        <f t="shared" si="66"/>
        <v>0.2</v>
      </c>
      <c r="H373" s="635"/>
      <c r="I373" s="21">
        <f t="shared" si="67"/>
        <v>0.02</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0.03</v>
      </c>
      <c r="F374" s="635"/>
      <c r="G374" s="21">
        <f t="shared" si="66"/>
        <v>0.2</v>
      </c>
      <c r="H374" s="635"/>
      <c r="I374" s="21">
        <f t="shared" si="67"/>
        <v>0.02</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0.03</v>
      </c>
      <c r="F375" s="635"/>
      <c r="G375" s="21">
        <f t="shared" si="66"/>
        <v>0.2</v>
      </c>
      <c r="H375" s="635"/>
      <c r="I375" s="21">
        <f t="shared" si="67"/>
        <v>0.02</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0.03</v>
      </c>
      <c r="F376" s="635"/>
      <c r="G376" s="21">
        <f t="shared" si="66"/>
        <v>0.2</v>
      </c>
      <c r="H376" s="635"/>
      <c r="I376" s="21">
        <f t="shared" si="67"/>
        <v>0.02</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0.03</v>
      </c>
      <c r="F377" s="635"/>
      <c r="G377" s="21">
        <f t="shared" si="66"/>
        <v>0.2</v>
      </c>
      <c r="H377" s="635"/>
      <c r="I377" s="21">
        <f t="shared" si="67"/>
        <v>0.02</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0.03</v>
      </c>
      <c r="F378" s="635"/>
      <c r="G378" s="21">
        <f t="shared" si="66"/>
        <v>0.2</v>
      </c>
      <c r="H378" s="635"/>
      <c r="I378" s="21">
        <f t="shared" si="67"/>
        <v>0.02</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0.03</v>
      </c>
      <c r="F379" s="635"/>
      <c r="G379" s="21">
        <f t="shared" si="66"/>
        <v>0.2</v>
      </c>
      <c r="H379" s="635"/>
      <c r="I379" s="21">
        <f t="shared" si="67"/>
        <v>0.02</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0.03</v>
      </c>
      <c r="F380" s="635"/>
      <c r="G380" s="21">
        <f t="shared" si="66"/>
        <v>0.2</v>
      </c>
      <c r="H380" s="635"/>
      <c r="I380" s="21">
        <f t="shared" si="67"/>
        <v>0.02</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0.03</v>
      </c>
      <c r="F381" s="635"/>
      <c r="G381" s="21">
        <f t="shared" si="66"/>
        <v>0.2</v>
      </c>
      <c r="H381" s="635"/>
      <c r="I381" s="21">
        <f t="shared" si="67"/>
        <v>0.02</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0.03</v>
      </c>
      <c r="F382" s="635"/>
      <c r="G382" s="21">
        <f t="shared" si="66"/>
        <v>0.2</v>
      </c>
      <c r="H382" s="635"/>
      <c r="I382" s="21">
        <f t="shared" si="67"/>
        <v>0.02</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0.03</v>
      </c>
      <c r="F383" s="635"/>
      <c r="G383" s="21">
        <f t="shared" si="66"/>
        <v>0.2</v>
      </c>
      <c r="H383" s="635"/>
      <c r="I383" s="21">
        <f t="shared" si="67"/>
        <v>0.02</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0.03</v>
      </c>
      <c r="F384" s="635"/>
      <c r="G384" s="21">
        <f t="shared" si="66"/>
        <v>0.2</v>
      </c>
      <c r="H384" s="635"/>
      <c r="I384" s="21">
        <f t="shared" si="67"/>
        <v>0.02</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0.03</v>
      </c>
      <c r="F385" s="635"/>
      <c r="G385" s="21">
        <f t="shared" si="66"/>
        <v>0.2</v>
      </c>
      <c r="H385" s="635"/>
      <c r="I385" s="21">
        <f t="shared" si="67"/>
        <v>0.02</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0.03</v>
      </c>
      <c r="F386" s="635"/>
      <c r="G386" s="21">
        <f t="shared" si="66"/>
        <v>0.2</v>
      </c>
      <c r="H386" s="635"/>
      <c r="I386" s="21">
        <f t="shared" si="67"/>
        <v>0.02</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0.03</v>
      </c>
      <c r="F387" s="635"/>
      <c r="G387" s="21">
        <f t="shared" si="66"/>
        <v>0.2</v>
      </c>
      <c r="H387" s="635"/>
      <c r="I387" s="21">
        <f t="shared" si="67"/>
        <v>0.02</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0.03</v>
      </c>
      <c r="F388" s="635"/>
      <c r="G388" s="21">
        <f t="shared" si="66"/>
        <v>0.2</v>
      </c>
      <c r="H388" s="635"/>
      <c r="I388" s="21">
        <f t="shared" si="67"/>
        <v>0.02</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0.03</v>
      </c>
      <c r="F389" s="635"/>
      <c r="G389" s="21">
        <f t="shared" si="66"/>
        <v>0.2</v>
      </c>
      <c r="H389" s="635"/>
      <c r="I389" s="21">
        <f t="shared" si="67"/>
        <v>0.02</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0.03</v>
      </c>
      <c r="F390" s="635"/>
      <c r="G390" s="21">
        <f t="shared" si="66"/>
        <v>0.2</v>
      </c>
      <c r="H390" s="635"/>
      <c r="I390" s="21">
        <f t="shared" si="67"/>
        <v>0.02</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0.03</v>
      </c>
      <c r="F391" s="635"/>
      <c r="G391" s="21">
        <f t="shared" si="66"/>
        <v>0.2</v>
      </c>
      <c r="H391" s="635"/>
      <c r="I391" s="21">
        <f t="shared" si="67"/>
        <v>0.02</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0.03</v>
      </c>
      <c r="F392" s="635"/>
      <c r="G392" s="21">
        <f t="shared" si="66"/>
        <v>0.2</v>
      </c>
      <c r="H392" s="635"/>
      <c r="I392" s="21">
        <f t="shared" si="67"/>
        <v>0.02</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0.03</v>
      </c>
      <c r="F393" s="635"/>
      <c r="G393" s="21">
        <f t="shared" si="66"/>
        <v>0.2</v>
      </c>
      <c r="H393" s="635"/>
      <c r="I393" s="21">
        <f t="shared" si="67"/>
        <v>0.02</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0.03</v>
      </c>
      <c r="F394" s="635"/>
      <c r="G394" s="21">
        <f t="shared" si="66"/>
        <v>0.2</v>
      </c>
      <c r="H394" s="635"/>
      <c r="I394" s="21">
        <f t="shared" si="67"/>
        <v>0.02</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0.03</v>
      </c>
      <c r="F395" s="635"/>
      <c r="G395" s="21">
        <f t="shared" si="66"/>
        <v>0.2</v>
      </c>
      <c r="H395" s="635"/>
      <c r="I395" s="21">
        <f t="shared" si="67"/>
        <v>0.02</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0.03</v>
      </c>
      <c r="F396" s="635"/>
      <c r="G396" s="21">
        <f t="shared" si="66"/>
        <v>0.2</v>
      </c>
      <c r="H396" s="635"/>
      <c r="I396" s="21">
        <f t="shared" si="67"/>
        <v>0.02</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0.03</v>
      </c>
      <c r="F397" s="635"/>
      <c r="G397" s="21">
        <f t="shared" si="66"/>
        <v>0.2</v>
      </c>
      <c r="H397" s="635"/>
      <c r="I397" s="21">
        <f t="shared" si="67"/>
        <v>0.02</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0.03</v>
      </c>
      <c r="F398" s="635"/>
      <c r="G398" s="21">
        <f t="shared" si="66"/>
        <v>0.2</v>
      </c>
      <c r="H398" s="635"/>
      <c r="I398" s="21">
        <f t="shared" si="67"/>
        <v>0.02</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0.03</v>
      </c>
      <c r="F399" s="635"/>
      <c r="G399" s="21">
        <f t="shared" si="66"/>
        <v>0.2</v>
      </c>
      <c r="H399" s="635"/>
      <c r="I399" s="21">
        <f t="shared" si="67"/>
        <v>0.02</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0.03</v>
      </c>
      <c r="F400" s="635"/>
      <c r="G400" s="21">
        <f t="shared" si="66"/>
        <v>0.2</v>
      </c>
      <c r="H400" s="635"/>
      <c r="I400" s="21">
        <f t="shared" si="67"/>
        <v>0.02</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0.03</v>
      </c>
      <c r="F401" s="635"/>
      <c r="G401" s="21">
        <f t="shared" si="66"/>
        <v>0.2</v>
      </c>
      <c r="H401" s="635"/>
      <c r="I401" s="21">
        <f t="shared" si="67"/>
        <v>0.02</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0.03</v>
      </c>
      <c r="F402" s="635"/>
      <c r="G402" s="21">
        <f t="shared" si="66"/>
        <v>0.2</v>
      </c>
      <c r="H402" s="635"/>
      <c r="I402" s="21">
        <f t="shared" si="67"/>
        <v>0.02</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0.03</v>
      </c>
      <c r="F403" s="635"/>
      <c r="G403" s="21">
        <f t="shared" si="66"/>
        <v>0.2</v>
      </c>
      <c r="H403" s="635"/>
      <c r="I403" s="21">
        <f t="shared" si="67"/>
        <v>0.02</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0.03</v>
      </c>
      <c r="F404" s="635"/>
      <c r="G404" s="21">
        <f t="shared" si="66"/>
        <v>0.2</v>
      </c>
      <c r="H404" s="635"/>
      <c r="I404" s="21">
        <f t="shared" si="67"/>
        <v>0.02</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0.03</v>
      </c>
      <c r="F405" s="635"/>
      <c r="G405" s="21">
        <f t="shared" si="66"/>
        <v>0.2</v>
      </c>
      <c r="H405" s="635"/>
      <c r="I405" s="21">
        <f t="shared" si="67"/>
        <v>0.02</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0.03</v>
      </c>
      <c r="F406" s="635"/>
      <c r="G406" s="21">
        <f t="shared" si="66"/>
        <v>0.2</v>
      </c>
      <c r="H406" s="635"/>
      <c r="I406" s="21">
        <f t="shared" si="67"/>
        <v>0.02</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0.03</v>
      </c>
      <c r="F407" s="635"/>
      <c r="G407" s="21">
        <f t="shared" si="66"/>
        <v>0.2</v>
      </c>
      <c r="H407" s="635"/>
      <c r="I407" s="21">
        <f t="shared" si="67"/>
        <v>0.02</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0.03</v>
      </c>
      <c r="F408" s="635"/>
      <c r="G408" s="21">
        <f t="shared" si="66"/>
        <v>0.2</v>
      </c>
      <c r="H408" s="635"/>
      <c r="I408" s="21">
        <f t="shared" si="67"/>
        <v>0.02</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0.03</v>
      </c>
      <c r="F409" s="635"/>
      <c r="G409" s="21">
        <f t="shared" si="66"/>
        <v>0.2</v>
      </c>
      <c r="H409" s="635"/>
      <c r="I409" s="21">
        <f t="shared" si="67"/>
        <v>0.02</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0.03</v>
      </c>
      <c r="F410" s="635"/>
      <c r="G410" s="21">
        <f t="shared" ref="G410:G473" si="76">(SUMIF($7:$7,F410,$8:$8)-SUMIF($7:$7,$F$24,$8:$8)+100)/100</f>
        <v>0.2</v>
      </c>
      <c r="H410" s="635"/>
      <c r="I410" s="21">
        <f t="shared" ref="I410:I473" si="77">(SUMIF($9:$9,H410,$10:$10)-SUMIF($9:$9,$H$24,$10:$10)+100)/100</f>
        <v>0.02</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0.03</v>
      </c>
      <c r="F411" s="635"/>
      <c r="G411" s="21">
        <f t="shared" si="76"/>
        <v>0.2</v>
      </c>
      <c r="H411" s="635"/>
      <c r="I411" s="21">
        <f t="shared" si="77"/>
        <v>0.02</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0.03</v>
      </c>
      <c r="F412" s="635"/>
      <c r="G412" s="21">
        <f t="shared" si="76"/>
        <v>0.2</v>
      </c>
      <c r="H412" s="635"/>
      <c r="I412" s="21">
        <f t="shared" si="77"/>
        <v>0.02</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0.03</v>
      </c>
      <c r="F413" s="635"/>
      <c r="G413" s="21">
        <f t="shared" si="76"/>
        <v>0.2</v>
      </c>
      <c r="H413" s="635"/>
      <c r="I413" s="21">
        <f t="shared" si="77"/>
        <v>0.02</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0.03</v>
      </c>
      <c r="F414" s="635"/>
      <c r="G414" s="21">
        <f t="shared" si="76"/>
        <v>0.2</v>
      </c>
      <c r="H414" s="635"/>
      <c r="I414" s="21">
        <f t="shared" si="77"/>
        <v>0.02</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0.03</v>
      </c>
      <c r="F415" s="635"/>
      <c r="G415" s="21">
        <f t="shared" si="76"/>
        <v>0.2</v>
      </c>
      <c r="H415" s="635"/>
      <c r="I415" s="21">
        <f t="shared" si="77"/>
        <v>0.02</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0.03</v>
      </c>
      <c r="F416" s="635"/>
      <c r="G416" s="21">
        <f t="shared" si="76"/>
        <v>0.2</v>
      </c>
      <c r="H416" s="635"/>
      <c r="I416" s="21">
        <f t="shared" si="77"/>
        <v>0.02</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0.03</v>
      </c>
      <c r="F417" s="635"/>
      <c r="G417" s="21">
        <f t="shared" si="76"/>
        <v>0.2</v>
      </c>
      <c r="H417" s="635"/>
      <c r="I417" s="21">
        <f t="shared" si="77"/>
        <v>0.02</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0.03</v>
      </c>
      <c r="F418" s="635"/>
      <c r="G418" s="21">
        <f t="shared" si="76"/>
        <v>0.2</v>
      </c>
      <c r="H418" s="635"/>
      <c r="I418" s="21">
        <f t="shared" si="77"/>
        <v>0.02</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0.03</v>
      </c>
      <c r="F419" s="635"/>
      <c r="G419" s="21">
        <f t="shared" si="76"/>
        <v>0.2</v>
      </c>
      <c r="H419" s="635"/>
      <c r="I419" s="21">
        <f t="shared" si="77"/>
        <v>0.02</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0.03</v>
      </c>
      <c r="F420" s="635"/>
      <c r="G420" s="21">
        <f t="shared" si="76"/>
        <v>0.2</v>
      </c>
      <c r="H420" s="635"/>
      <c r="I420" s="21">
        <f t="shared" si="77"/>
        <v>0.02</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0.03</v>
      </c>
      <c r="F421" s="635"/>
      <c r="G421" s="21">
        <f t="shared" si="76"/>
        <v>0.2</v>
      </c>
      <c r="H421" s="635"/>
      <c r="I421" s="21">
        <f t="shared" si="77"/>
        <v>0.02</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0.03</v>
      </c>
      <c r="F422" s="635"/>
      <c r="G422" s="21">
        <f t="shared" si="76"/>
        <v>0.2</v>
      </c>
      <c r="H422" s="635"/>
      <c r="I422" s="21">
        <f t="shared" si="77"/>
        <v>0.02</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0.03</v>
      </c>
      <c r="F423" s="635"/>
      <c r="G423" s="21">
        <f t="shared" si="76"/>
        <v>0.2</v>
      </c>
      <c r="H423" s="635"/>
      <c r="I423" s="21">
        <f t="shared" si="77"/>
        <v>0.02</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0.03</v>
      </c>
      <c r="F424" s="635"/>
      <c r="G424" s="21">
        <f t="shared" si="76"/>
        <v>0.2</v>
      </c>
      <c r="H424" s="635"/>
      <c r="I424" s="21">
        <f t="shared" si="77"/>
        <v>0.02</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0.03</v>
      </c>
      <c r="F425" s="635"/>
      <c r="G425" s="21">
        <f t="shared" si="76"/>
        <v>0.2</v>
      </c>
      <c r="H425" s="635"/>
      <c r="I425" s="21">
        <f t="shared" si="77"/>
        <v>0.02</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0.03</v>
      </c>
      <c r="F426" s="635"/>
      <c r="G426" s="21">
        <f t="shared" si="76"/>
        <v>0.2</v>
      </c>
      <c r="H426" s="635"/>
      <c r="I426" s="21">
        <f t="shared" si="77"/>
        <v>0.02</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0.03</v>
      </c>
      <c r="F427" s="635"/>
      <c r="G427" s="21">
        <f t="shared" si="76"/>
        <v>0.2</v>
      </c>
      <c r="H427" s="635"/>
      <c r="I427" s="21">
        <f t="shared" si="77"/>
        <v>0.02</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0.03</v>
      </c>
      <c r="F428" s="635"/>
      <c r="G428" s="21">
        <f t="shared" si="76"/>
        <v>0.2</v>
      </c>
      <c r="H428" s="635"/>
      <c r="I428" s="21">
        <f t="shared" si="77"/>
        <v>0.02</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0.03</v>
      </c>
      <c r="F429" s="635"/>
      <c r="G429" s="21">
        <f t="shared" si="76"/>
        <v>0.2</v>
      </c>
      <c r="H429" s="635"/>
      <c r="I429" s="21">
        <f t="shared" si="77"/>
        <v>0.02</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0.03</v>
      </c>
      <c r="F430" s="635"/>
      <c r="G430" s="21">
        <f t="shared" si="76"/>
        <v>0.2</v>
      </c>
      <c r="H430" s="635"/>
      <c r="I430" s="21">
        <f t="shared" si="77"/>
        <v>0.02</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0.03</v>
      </c>
      <c r="F431" s="635"/>
      <c r="G431" s="21">
        <f t="shared" si="76"/>
        <v>0.2</v>
      </c>
      <c r="H431" s="635"/>
      <c r="I431" s="21">
        <f t="shared" si="77"/>
        <v>0.02</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0.03</v>
      </c>
      <c r="F432" s="635"/>
      <c r="G432" s="21">
        <f t="shared" si="76"/>
        <v>0.2</v>
      </c>
      <c r="H432" s="635"/>
      <c r="I432" s="21">
        <f t="shared" si="77"/>
        <v>0.02</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0.03</v>
      </c>
      <c r="F433" s="635"/>
      <c r="G433" s="21">
        <f t="shared" si="76"/>
        <v>0.2</v>
      </c>
      <c r="H433" s="635"/>
      <c r="I433" s="21">
        <f t="shared" si="77"/>
        <v>0.02</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0.03</v>
      </c>
      <c r="F434" s="635"/>
      <c r="G434" s="21">
        <f t="shared" si="76"/>
        <v>0.2</v>
      </c>
      <c r="H434" s="635"/>
      <c r="I434" s="21">
        <f t="shared" si="77"/>
        <v>0.02</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0.03</v>
      </c>
      <c r="F435" s="635"/>
      <c r="G435" s="21">
        <f t="shared" si="76"/>
        <v>0.2</v>
      </c>
      <c r="H435" s="635"/>
      <c r="I435" s="21">
        <f t="shared" si="77"/>
        <v>0.02</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0.03</v>
      </c>
      <c r="F436" s="635"/>
      <c r="G436" s="21">
        <f t="shared" si="76"/>
        <v>0.2</v>
      </c>
      <c r="H436" s="635"/>
      <c r="I436" s="21">
        <f t="shared" si="77"/>
        <v>0.02</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0.03</v>
      </c>
      <c r="F437" s="635"/>
      <c r="G437" s="21">
        <f t="shared" si="76"/>
        <v>0.2</v>
      </c>
      <c r="H437" s="635"/>
      <c r="I437" s="21">
        <f t="shared" si="77"/>
        <v>0.02</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0.03</v>
      </c>
      <c r="F438" s="635"/>
      <c r="G438" s="21">
        <f t="shared" si="76"/>
        <v>0.2</v>
      </c>
      <c r="H438" s="635"/>
      <c r="I438" s="21">
        <f t="shared" si="77"/>
        <v>0.02</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0.03</v>
      </c>
      <c r="F439" s="635"/>
      <c r="G439" s="21">
        <f t="shared" si="76"/>
        <v>0.2</v>
      </c>
      <c r="H439" s="635"/>
      <c r="I439" s="21">
        <f t="shared" si="77"/>
        <v>0.02</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0.03</v>
      </c>
      <c r="F440" s="635"/>
      <c r="G440" s="21">
        <f t="shared" si="76"/>
        <v>0.2</v>
      </c>
      <c r="H440" s="635"/>
      <c r="I440" s="21">
        <f t="shared" si="77"/>
        <v>0.02</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0.03</v>
      </c>
      <c r="F441" s="635"/>
      <c r="G441" s="21">
        <f t="shared" si="76"/>
        <v>0.2</v>
      </c>
      <c r="H441" s="635"/>
      <c r="I441" s="21">
        <f t="shared" si="77"/>
        <v>0.02</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0.03</v>
      </c>
      <c r="F442" s="635"/>
      <c r="G442" s="21">
        <f t="shared" si="76"/>
        <v>0.2</v>
      </c>
      <c r="H442" s="635"/>
      <c r="I442" s="21">
        <f t="shared" si="77"/>
        <v>0.02</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0.03</v>
      </c>
      <c r="F443" s="635"/>
      <c r="G443" s="21">
        <f t="shared" si="76"/>
        <v>0.2</v>
      </c>
      <c r="H443" s="635"/>
      <c r="I443" s="21">
        <f t="shared" si="77"/>
        <v>0.02</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0.03</v>
      </c>
      <c r="F444" s="635"/>
      <c r="G444" s="21">
        <f t="shared" si="76"/>
        <v>0.2</v>
      </c>
      <c r="H444" s="635"/>
      <c r="I444" s="21">
        <f t="shared" si="77"/>
        <v>0.02</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0.03</v>
      </c>
      <c r="F445" s="635"/>
      <c r="G445" s="21">
        <f t="shared" si="76"/>
        <v>0.2</v>
      </c>
      <c r="H445" s="635"/>
      <c r="I445" s="21">
        <f t="shared" si="77"/>
        <v>0.02</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0.03</v>
      </c>
      <c r="F446" s="635"/>
      <c r="G446" s="21">
        <f t="shared" si="76"/>
        <v>0.2</v>
      </c>
      <c r="H446" s="635"/>
      <c r="I446" s="21">
        <f t="shared" si="77"/>
        <v>0.02</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0.03</v>
      </c>
      <c r="F447" s="635"/>
      <c r="G447" s="21">
        <f t="shared" si="76"/>
        <v>0.2</v>
      </c>
      <c r="H447" s="635"/>
      <c r="I447" s="21">
        <f t="shared" si="77"/>
        <v>0.02</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0.03</v>
      </c>
      <c r="F448" s="635"/>
      <c r="G448" s="21">
        <f t="shared" si="76"/>
        <v>0.2</v>
      </c>
      <c r="H448" s="635"/>
      <c r="I448" s="21">
        <f t="shared" si="77"/>
        <v>0.02</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0.03</v>
      </c>
      <c r="F449" s="635"/>
      <c r="G449" s="21">
        <f t="shared" si="76"/>
        <v>0.2</v>
      </c>
      <c r="H449" s="635"/>
      <c r="I449" s="21">
        <f t="shared" si="77"/>
        <v>0.02</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0.03</v>
      </c>
      <c r="F450" s="635"/>
      <c r="G450" s="21">
        <f t="shared" si="76"/>
        <v>0.2</v>
      </c>
      <c r="H450" s="635"/>
      <c r="I450" s="21">
        <f t="shared" si="77"/>
        <v>0.02</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0.03</v>
      </c>
      <c r="F451" s="635"/>
      <c r="G451" s="21">
        <f t="shared" si="76"/>
        <v>0.2</v>
      </c>
      <c r="H451" s="635"/>
      <c r="I451" s="21">
        <f t="shared" si="77"/>
        <v>0.02</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0.03</v>
      </c>
      <c r="F452" s="635"/>
      <c r="G452" s="21">
        <f t="shared" si="76"/>
        <v>0.2</v>
      </c>
      <c r="H452" s="635"/>
      <c r="I452" s="21">
        <f t="shared" si="77"/>
        <v>0.02</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0.03</v>
      </c>
      <c r="F453" s="635"/>
      <c r="G453" s="21">
        <f t="shared" si="76"/>
        <v>0.2</v>
      </c>
      <c r="H453" s="635"/>
      <c r="I453" s="21">
        <f t="shared" si="77"/>
        <v>0.02</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0.03</v>
      </c>
      <c r="F454" s="635"/>
      <c r="G454" s="21">
        <f t="shared" si="76"/>
        <v>0.2</v>
      </c>
      <c r="H454" s="635"/>
      <c r="I454" s="21">
        <f t="shared" si="77"/>
        <v>0.02</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0.03</v>
      </c>
      <c r="F455" s="635"/>
      <c r="G455" s="21">
        <f t="shared" si="76"/>
        <v>0.2</v>
      </c>
      <c r="H455" s="635"/>
      <c r="I455" s="21">
        <f t="shared" si="77"/>
        <v>0.02</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0.03</v>
      </c>
      <c r="F456" s="635"/>
      <c r="G456" s="21">
        <f t="shared" si="76"/>
        <v>0.2</v>
      </c>
      <c r="H456" s="635"/>
      <c r="I456" s="21">
        <f t="shared" si="77"/>
        <v>0.02</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0.03</v>
      </c>
      <c r="F457" s="635"/>
      <c r="G457" s="21">
        <f t="shared" si="76"/>
        <v>0.2</v>
      </c>
      <c r="H457" s="635"/>
      <c r="I457" s="21">
        <f t="shared" si="77"/>
        <v>0.02</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0.03</v>
      </c>
      <c r="F458" s="635"/>
      <c r="G458" s="21">
        <f t="shared" si="76"/>
        <v>0.2</v>
      </c>
      <c r="H458" s="635"/>
      <c r="I458" s="21">
        <f t="shared" si="77"/>
        <v>0.02</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0.03</v>
      </c>
      <c r="F459" s="635"/>
      <c r="G459" s="21">
        <f t="shared" si="76"/>
        <v>0.2</v>
      </c>
      <c r="H459" s="635"/>
      <c r="I459" s="21">
        <f t="shared" si="77"/>
        <v>0.02</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0.03</v>
      </c>
      <c r="F460" s="635"/>
      <c r="G460" s="21">
        <f t="shared" si="76"/>
        <v>0.2</v>
      </c>
      <c r="H460" s="635"/>
      <c r="I460" s="21">
        <f t="shared" si="77"/>
        <v>0.02</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0.03</v>
      </c>
      <c r="F461" s="635"/>
      <c r="G461" s="21">
        <f t="shared" si="76"/>
        <v>0.2</v>
      </c>
      <c r="H461" s="635"/>
      <c r="I461" s="21">
        <f t="shared" si="77"/>
        <v>0.02</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0.03</v>
      </c>
      <c r="F462" s="635"/>
      <c r="G462" s="21">
        <f t="shared" si="76"/>
        <v>0.2</v>
      </c>
      <c r="H462" s="635"/>
      <c r="I462" s="21">
        <f t="shared" si="77"/>
        <v>0.02</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0.03</v>
      </c>
      <c r="F463" s="635"/>
      <c r="G463" s="21">
        <f t="shared" si="76"/>
        <v>0.2</v>
      </c>
      <c r="H463" s="635"/>
      <c r="I463" s="21">
        <f t="shared" si="77"/>
        <v>0.02</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0.03</v>
      </c>
      <c r="F464" s="635"/>
      <c r="G464" s="21">
        <f t="shared" si="76"/>
        <v>0.2</v>
      </c>
      <c r="H464" s="635"/>
      <c r="I464" s="21">
        <f t="shared" si="77"/>
        <v>0.02</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0.03</v>
      </c>
      <c r="F465" s="635"/>
      <c r="G465" s="21">
        <f t="shared" si="76"/>
        <v>0.2</v>
      </c>
      <c r="H465" s="635"/>
      <c r="I465" s="21">
        <f t="shared" si="77"/>
        <v>0.02</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0.03</v>
      </c>
      <c r="F466" s="635"/>
      <c r="G466" s="21">
        <f t="shared" si="76"/>
        <v>0.2</v>
      </c>
      <c r="H466" s="635"/>
      <c r="I466" s="21">
        <f t="shared" si="77"/>
        <v>0.02</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0.03</v>
      </c>
      <c r="F467" s="635"/>
      <c r="G467" s="21">
        <f t="shared" si="76"/>
        <v>0.2</v>
      </c>
      <c r="H467" s="635"/>
      <c r="I467" s="21">
        <f t="shared" si="77"/>
        <v>0.02</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0.03</v>
      </c>
      <c r="F468" s="635"/>
      <c r="G468" s="21">
        <f t="shared" si="76"/>
        <v>0.2</v>
      </c>
      <c r="H468" s="635"/>
      <c r="I468" s="21">
        <f t="shared" si="77"/>
        <v>0.02</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0.03</v>
      </c>
      <c r="F469" s="635"/>
      <c r="G469" s="21">
        <f t="shared" si="76"/>
        <v>0.2</v>
      </c>
      <c r="H469" s="635"/>
      <c r="I469" s="21">
        <f t="shared" si="77"/>
        <v>0.02</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0.03</v>
      </c>
      <c r="F470" s="635"/>
      <c r="G470" s="21">
        <f t="shared" si="76"/>
        <v>0.2</v>
      </c>
      <c r="H470" s="635"/>
      <c r="I470" s="21">
        <f t="shared" si="77"/>
        <v>0.02</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0.03</v>
      </c>
      <c r="F471" s="635"/>
      <c r="G471" s="21">
        <f t="shared" si="76"/>
        <v>0.2</v>
      </c>
      <c r="H471" s="635"/>
      <c r="I471" s="21">
        <f t="shared" si="77"/>
        <v>0.02</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0.03</v>
      </c>
      <c r="F472" s="635"/>
      <c r="G472" s="21">
        <f t="shared" si="76"/>
        <v>0.2</v>
      </c>
      <c r="H472" s="635"/>
      <c r="I472" s="21">
        <f t="shared" si="77"/>
        <v>0.02</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0.03</v>
      </c>
      <c r="F473" s="635"/>
      <c r="G473" s="21">
        <f t="shared" si="76"/>
        <v>0.2</v>
      </c>
      <c r="H473" s="635"/>
      <c r="I473" s="21">
        <f t="shared" si="77"/>
        <v>0.02</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0.03</v>
      </c>
      <c r="F474" s="635"/>
      <c r="G474" s="21">
        <f t="shared" ref="G474:G524" si="87">(SUMIF($7:$7,F474,$8:$8)-SUMIF($7:$7,$F$24,$8:$8)+100)/100</f>
        <v>0.2</v>
      </c>
      <c r="H474" s="635"/>
      <c r="I474" s="21">
        <f t="shared" ref="I474:I524" si="88">(SUMIF($9:$9,H474,$10:$10)-SUMIF($9:$9,$H$24,$10:$10)+100)/100</f>
        <v>0.02</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0.03</v>
      </c>
      <c r="F475" s="635"/>
      <c r="G475" s="21">
        <f t="shared" si="87"/>
        <v>0.2</v>
      </c>
      <c r="H475" s="635"/>
      <c r="I475" s="21">
        <f t="shared" si="88"/>
        <v>0.02</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0.03</v>
      </c>
      <c r="F476" s="635"/>
      <c r="G476" s="21">
        <f t="shared" si="87"/>
        <v>0.2</v>
      </c>
      <c r="H476" s="635"/>
      <c r="I476" s="21">
        <f t="shared" si="88"/>
        <v>0.02</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0.03</v>
      </c>
      <c r="F477" s="635"/>
      <c r="G477" s="21">
        <f t="shared" si="87"/>
        <v>0.2</v>
      </c>
      <c r="H477" s="635"/>
      <c r="I477" s="21">
        <f t="shared" si="88"/>
        <v>0.02</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0.03</v>
      </c>
      <c r="F478" s="635"/>
      <c r="G478" s="21">
        <f t="shared" si="87"/>
        <v>0.2</v>
      </c>
      <c r="H478" s="635"/>
      <c r="I478" s="21">
        <f t="shared" si="88"/>
        <v>0.02</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0.03</v>
      </c>
      <c r="F479" s="635"/>
      <c r="G479" s="21">
        <f t="shared" si="87"/>
        <v>0.2</v>
      </c>
      <c r="H479" s="635"/>
      <c r="I479" s="21">
        <f t="shared" si="88"/>
        <v>0.02</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0.03</v>
      </c>
      <c r="F480" s="635"/>
      <c r="G480" s="21">
        <f t="shared" si="87"/>
        <v>0.2</v>
      </c>
      <c r="H480" s="635"/>
      <c r="I480" s="21">
        <f t="shared" si="88"/>
        <v>0.02</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0.03</v>
      </c>
      <c r="F481" s="635"/>
      <c r="G481" s="21">
        <f t="shared" si="87"/>
        <v>0.2</v>
      </c>
      <c r="H481" s="635"/>
      <c r="I481" s="21">
        <f t="shared" si="88"/>
        <v>0.02</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0.03</v>
      </c>
      <c r="F482" s="635"/>
      <c r="G482" s="21">
        <f t="shared" si="87"/>
        <v>0.2</v>
      </c>
      <c r="H482" s="635"/>
      <c r="I482" s="21">
        <f t="shared" si="88"/>
        <v>0.02</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0.03</v>
      </c>
      <c r="F483" s="635"/>
      <c r="G483" s="21">
        <f t="shared" si="87"/>
        <v>0.2</v>
      </c>
      <c r="H483" s="635"/>
      <c r="I483" s="21">
        <f t="shared" si="88"/>
        <v>0.02</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0.03</v>
      </c>
      <c r="F484" s="635"/>
      <c r="G484" s="21">
        <f t="shared" si="87"/>
        <v>0.2</v>
      </c>
      <c r="H484" s="635"/>
      <c r="I484" s="21">
        <f t="shared" si="88"/>
        <v>0.02</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0.03</v>
      </c>
      <c r="F485" s="635"/>
      <c r="G485" s="21">
        <f t="shared" si="87"/>
        <v>0.2</v>
      </c>
      <c r="H485" s="635"/>
      <c r="I485" s="21">
        <f t="shared" si="88"/>
        <v>0.02</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0.03</v>
      </c>
      <c r="F486" s="635"/>
      <c r="G486" s="21">
        <f t="shared" si="87"/>
        <v>0.2</v>
      </c>
      <c r="H486" s="635"/>
      <c r="I486" s="21">
        <f t="shared" si="88"/>
        <v>0.02</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0.03</v>
      </c>
      <c r="F487" s="635"/>
      <c r="G487" s="21">
        <f t="shared" si="87"/>
        <v>0.2</v>
      </c>
      <c r="H487" s="635"/>
      <c r="I487" s="21">
        <f t="shared" si="88"/>
        <v>0.02</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0.03</v>
      </c>
      <c r="F488" s="635"/>
      <c r="G488" s="21">
        <f t="shared" si="87"/>
        <v>0.2</v>
      </c>
      <c r="H488" s="635"/>
      <c r="I488" s="21">
        <f t="shared" si="88"/>
        <v>0.02</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0.03</v>
      </c>
      <c r="F489" s="635"/>
      <c r="G489" s="21">
        <f t="shared" si="87"/>
        <v>0.2</v>
      </c>
      <c r="H489" s="635"/>
      <c r="I489" s="21">
        <f t="shared" si="88"/>
        <v>0.02</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0.03</v>
      </c>
      <c r="F490" s="635"/>
      <c r="G490" s="21">
        <f t="shared" si="87"/>
        <v>0.2</v>
      </c>
      <c r="H490" s="635"/>
      <c r="I490" s="21">
        <f t="shared" si="88"/>
        <v>0.02</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0.03</v>
      </c>
      <c r="F491" s="635"/>
      <c r="G491" s="21">
        <f t="shared" si="87"/>
        <v>0.2</v>
      </c>
      <c r="H491" s="635"/>
      <c r="I491" s="21">
        <f t="shared" si="88"/>
        <v>0.02</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0.03</v>
      </c>
      <c r="F492" s="635"/>
      <c r="G492" s="21">
        <f t="shared" si="87"/>
        <v>0.2</v>
      </c>
      <c r="H492" s="635"/>
      <c r="I492" s="21">
        <f t="shared" si="88"/>
        <v>0.02</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0.03</v>
      </c>
      <c r="F493" s="635"/>
      <c r="G493" s="21">
        <f t="shared" si="87"/>
        <v>0.2</v>
      </c>
      <c r="H493" s="635"/>
      <c r="I493" s="21">
        <f t="shared" si="88"/>
        <v>0.02</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0.03</v>
      </c>
      <c r="F494" s="635"/>
      <c r="G494" s="21">
        <f t="shared" si="87"/>
        <v>0.2</v>
      </c>
      <c r="H494" s="635"/>
      <c r="I494" s="21">
        <f t="shared" si="88"/>
        <v>0.02</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0.03</v>
      </c>
      <c r="F495" s="635"/>
      <c r="G495" s="21">
        <f t="shared" si="87"/>
        <v>0.2</v>
      </c>
      <c r="H495" s="635"/>
      <c r="I495" s="21">
        <f t="shared" si="88"/>
        <v>0.02</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0.03</v>
      </c>
      <c r="F496" s="635"/>
      <c r="G496" s="21">
        <f t="shared" si="87"/>
        <v>0.2</v>
      </c>
      <c r="H496" s="635"/>
      <c r="I496" s="21">
        <f t="shared" si="88"/>
        <v>0.02</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0.03</v>
      </c>
      <c r="F497" s="635"/>
      <c r="G497" s="21">
        <f t="shared" si="87"/>
        <v>0.2</v>
      </c>
      <c r="H497" s="635"/>
      <c r="I497" s="21">
        <f t="shared" si="88"/>
        <v>0.02</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0.03</v>
      </c>
      <c r="F498" s="635"/>
      <c r="G498" s="21">
        <f t="shared" si="87"/>
        <v>0.2</v>
      </c>
      <c r="H498" s="635"/>
      <c r="I498" s="21">
        <f t="shared" si="88"/>
        <v>0.02</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0.03</v>
      </c>
      <c r="F499" s="635"/>
      <c r="G499" s="21">
        <f t="shared" si="87"/>
        <v>0.2</v>
      </c>
      <c r="H499" s="635"/>
      <c r="I499" s="21">
        <f t="shared" si="88"/>
        <v>0.02</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0.03</v>
      </c>
      <c r="F500" s="635"/>
      <c r="G500" s="21">
        <f t="shared" si="87"/>
        <v>0.2</v>
      </c>
      <c r="H500" s="635"/>
      <c r="I500" s="21">
        <f t="shared" si="88"/>
        <v>0.02</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0.03</v>
      </c>
      <c r="F501" s="635"/>
      <c r="G501" s="21">
        <f t="shared" si="87"/>
        <v>0.2</v>
      </c>
      <c r="H501" s="635"/>
      <c r="I501" s="21">
        <f t="shared" si="88"/>
        <v>0.02</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0.03</v>
      </c>
      <c r="F502" s="635"/>
      <c r="G502" s="21">
        <f t="shared" si="87"/>
        <v>0.2</v>
      </c>
      <c r="H502" s="635"/>
      <c r="I502" s="21">
        <f t="shared" si="88"/>
        <v>0.02</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0.03</v>
      </c>
      <c r="F503" s="635"/>
      <c r="G503" s="21">
        <f t="shared" si="87"/>
        <v>0.2</v>
      </c>
      <c r="H503" s="635"/>
      <c r="I503" s="21">
        <f t="shared" si="88"/>
        <v>0.02</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0.03</v>
      </c>
      <c r="F504" s="635"/>
      <c r="G504" s="21">
        <f t="shared" si="87"/>
        <v>0.2</v>
      </c>
      <c r="H504" s="635"/>
      <c r="I504" s="21">
        <f t="shared" si="88"/>
        <v>0.02</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0.03</v>
      </c>
      <c r="F505" s="635"/>
      <c r="G505" s="21">
        <f t="shared" si="87"/>
        <v>0.2</v>
      </c>
      <c r="H505" s="635"/>
      <c r="I505" s="21">
        <f t="shared" si="88"/>
        <v>0.02</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0.03</v>
      </c>
      <c r="F506" s="635"/>
      <c r="G506" s="21">
        <f t="shared" si="87"/>
        <v>0.2</v>
      </c>
      <c r="H506" s="635"/>
      <c r="I506" s="21">
        <f t="shared" si="88"/>
        <v>0.02</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0.03</v>
      </c>
      <c r="F507" s="635"/>
      <c r="G507" s="21">
        <f t="shared" si="87"/>
        <v>0.2</v>
      </c>
      <c r="H507" s="635"/>
      <c r="I507" s="21">
        <f t="shared" si="88"/>
        <v>0.02</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0.03</v>
      </c>
      <c r="F508" s="635"/>
      <c r="G508" s="21">
        <f t="shared" si="87"/>
        <v>0.2</v>
      </c>
      <c r="H508" s="635"/>
      <c r="I508" s="21">
        <f t="shared" si="88"/>
        <v>0.02</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0.03</v>
      </c>
      <c r="F509" s="635"/>
      <c r="G509" s="21">
        <f t="shared" si="87"/>
        <v>0.2</v>
      </c>
      <c r="H509" s="635"/>
      <c r="I509" s="21">
        <f t="shared" si="88"/>
        <v>0.02</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0.03</v>
      </c>
      <c r="F510" s="635"/>
      <c r="G510" s="21">
        <f t="shared" si="87"/>
        <v>0.2</v>
      </c>
      <c r="H510" s="635"/>
      <c r="I510" s="21">
        <f t="shared" si="88"/>
        <v>0.02</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0.03</v>
      </c>
      <c r="F511" s="635"/>
      <c r="G511" s="21">
        <f t="shared" si="87"/>
        <v>0.2</v>
      </c>
      <c r="H511" s="635"/>
      <c r="I511" s="21">
        <f t="shared" si="88"/>
        <v>0.02</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0.03</v>
      </c>
      <c r="F512" s="635"/>
      <c r="G512" s="21">
        <f t="shared" si="87"/>
        <v>0.2</v>
      </c>
      <c r="H512" s="635"/>
      <c r="I512" s="21">
        <f t="shared" si="88"/>
        <v>0.02</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0.03</v>
      </c>
      <c r="F513" s="635"/>
      <c r="G513" s="21">
        <f t="shared" si="87"/>
        <v>0.2</v>
      </c>
      <c r="H513" s="635"/>
      <c r="I513" s="21">
        <f t="shared" si="88"/>
        <v>0.02</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0.03</v>
      </c>
      <c r="F514" s="635"/>
      <c r="G514" s="21">
        <f t="shared" si="87"/>
        <v>0.2</v>
      </c>
      <c r="H514" s="635"/>
      <c r="I514" s="21">
        <f t="shared" si="88"/>
        <v>0.02</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0.03</v>
      </c>
      <c r="F515" s="635"/>
      <c r="G515" s="21">
        <f t="shared" si="87"/>
        <v>0.2</v>
      </c>
      <c r="H515" s="635"/>
      <c r="I515" s="21">
        <f t="shared" si="88"/>
        <v>0.02</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0.03</v>
      </c>
      <c r="F516" s="635"/>
      <c r="G516" s="21">
        <f t="shared" si="87"/>
        <v>0.2</v>
      </c>
      <c r="H516" s="635"/>
      <c r="I516" s="21">
        <f t="shared" si="88"/>
        <v>0.02</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0.03</v>
      </c>
      <c r="F517" s="635"/>
      <c r="G517" s="21">
        <f t="shared" si="87"/>
        <v>0.2</v>
      </c>
      <c r="H517" s="635"/>
      <c r="I517" s="21">
        <f t="shared" si="88"/>
        <v>0.02</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0.03</v>
      </c>
      <c r="F518" s="635"/>
      <c r="G518" s="21">
        <f t="shared" si="87"/>
        <v>0.2</v>
      </c>
      <c r="H518" s="635"/>
      <c r="I518" s="21">
        <f t="shared" si="88"/>
        <v>0.02</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0.03</v>
      </c>
      <c r="F519" s="635"/>
      <c r="G519" s="21">
        <f t="shared" si="87"/>
        <v>0.2</v>
      </c>
      <c r="H519" s="635"/>
      <c r="I519" s="21">
        <f t="shared" si="88"/>
        <v>0.02</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0.03</v>
      </c>
      <c r="F520" s="635"/>
      <c r="G520" s="21">
        <f t="shared" si="87"/>
        <v>0.2</v>
      </c>
      <c r="H520" s="635"/>
      <c r="I520" s="21">
        <f t="shared" si="88"/>
        <v>0.02</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0.03</v>
      </c>
      <c r="F521" s="635"/>
      <c r="G521" s="21">
        <f t="shared" si="87"/>
        <v>0.2</v>
      </c>
      <c r="H521" s="635"/>
      <c r="I521" s="21">
        <f t="shared" si="88"/>
        <v>0.02</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0.03</v>
      </c>
      <c r="F522" s="635"/>
      <c r="G522" s="21">
        <f t="shared" si="87"/>
        <v>0.2</v>
      </c>
      <c r="H522" s="635"/>
      <c r="I522" s="21">
        <f t="shared" si="88"/>
        <v>0.02</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0.03</v>
      </c>
      <c r="F523" s="635"/>
      <c r="G523" s="21">
        <f t="shared" si="87"/>
        <v>0.2</v>
      </c>
      <c r="H523" s="635"/>
      <c r="I523" s="21">
        <f t="shared" si="88"/>
        <v>0.02</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0.03</v>
      </c>
      <c r="F524" s="635"/>
      <c r="G524" s="21">
        <f t="shared" si="87"/>
        <v>0.2</v>
      </c>
      <c r="H524" s="635"/>
      <c r="I524" s="21">
        <f t="shared" si="88"/>
        <v>0.02</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pQcwsPIOhxwYkCrtBitUBsv3vrCmRPYBnSKuFpgPrEj1kM29w+7RUJXWrwXzVbjxvR8XlovQdKRjmEOl4MTXUQ==" saltValue="FptGeAflG2Cz41944HHIcg=="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269</v>
      </c>
      <c r="C2" s="1983" t="s">
        <v>2074</v>
      </c>
      <c r="D2" s="1983" t="s">
        <v>2075</v>
      </c>
      <c r="E2" s="2396">
        <f ca="1">SUMIF(E6:E13,"&lt;&gt;#ref!",E6:E13)</f>
        <v>179.5</v>
      </c>
      <c r="F2" s="2542"/>
      <c r="G2" s="2542"/>
      <c r="H2" s="2542"/>
      <c r="I2" s="2542"/>
      <c r="J2" s="2542"/>
      <c r="K2" s="2542"/>
      <c r="L2" s="2542"/>
      <c r="M2" s="2542"/>
      <c r="N2" s="2542"/>
      <c r="O2" s="2542"/>
      <c r="P2" s="2542"/>
    </row>
    <row r="3" spans="1:16" ht="15.6">
      <c r="A3" s="1983" t="s">
        <v>2076</v>
      </c>
      <c r="B3" s="2386">
        <f ca="1">ROUND(B2*10000/E2,0)</f>
        <v>14986</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269</v>
      </c>
      <c r="C6" s="1983" t="s">
        <v>2074</v>
      </c>
      <c r="D6" s="2542"/>
      <c r="E6" s="2396">
        <f ca="1">SUMIF(INDIRECT("'"&amp;A6&amp;"'"&amp;"!C:C"),"建筑面积",INDIRECT("'"&amp;A6&amp;"'"&amp;"!D:D"))</f>
        <v>179.5</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A1:N21"/>
  <sheetViews>
    <sheetView workbookViewId="0">
      <selection activeCell="P18" sqref="P18"/>
    </sheetView>
  </sheetViews>
  <sheetFormatPr defaultColWidth="8.88671875" defaultRowHeight="14.4"/>
  <cols>
    <col min="1" max="1" width="20.109375" style="3143" customWidth="1"/>
    <col min="2" max="2" width="20.21875" style="3143" customWidth="1"/>
    <col min="3" max="3" width="22.77734375" style="3143" customWidth="1"/>
    <col min="4" max="4" width="10.109375" style="3143" customWidth="1"/>
    <col min="5" max="5" width="11.109375" style="3143" customWidth="1"/>
    <col min="6" max="6" width="8.88671875" style="3143" customWidth="1"/>
    <col min="7" max="7" width="7" style="3143" customWidth="1"/>
    <col min="8" max="11" width="8.88671875" style="3143"/>
    <col min="12" max="12" width="9.44140625" style="3143" bestFit="1" customWidth="1"/>
    <col min="13" max="13" width="12.77734375" style="3143" bestFit="1" customWidth="1"/>
    <col min="14" max="15" width="8.88671875" style="3143"/>
    <col min="16" max="16" width="11.6640625" style="3143" bestFit="1" customWidth="1"/>
    <col min="17" max="16384" width="8.88671875" style="3143"/>
  </cols>
  <sheetData>
    <row r="1" spans="1:14">
      <c r="A1" s="3142" t="s">
        <v>3397</v>
      </c>
      <c r="B1" s="3142"/>
    </row>
    <row r="3" spans="1:14" ht="28.8">
      <c r="A3" s="3149" t="s">
        <v>3398</v>
      </c>
      <c r="B3" s="3149" t="s">
        <v>3402</v>
      </c>
      <c r="C3" s="3149" t="s">
        <v>3400</v>
      </c>
      <c r="D3" s="3149" t="s">
        <v>3411</v>
      </c>
      <c r="E3" s="3149" t="s">
        <v>3409</v>
      </c>
      <c r="F3" s="3149" t="s">
        <v>3410</v>
      </c>
      <c r="G3" s="3149" t="s">
        <v>3414</v>
      </c>
      <c r="H3" s="3149" t="s">
        <v>3408</v>
      </c>
      <c r="I3" s="3149" t="s">
        <v>3404</v>
      </c>
      <c r="J3" s="3149" t="s">
        <v>2542</v>
      </c>
      <c r="K3" s="3149" t="s">
        <v>3415</v>
      </c>
      <c r="L3" s="3145" t="s">
        <v>3432</v>
      </c>
      <c r="M3" s="3142" t="s">
        <v>3443</v>
      </c>
      <c r="N3" s="3142"/>
    </row>
    <row r="4" spans="1:14" ht="28.8">
      <c r="A4" s="3149" t="s">
        <v>3399</v>
      </c>
      <c r="B4" s="3149" t="s">
        <v>3403</v>
      </c>
      <c r="C4" s="3149" t="s">
        <v>3401</v>
      </c>
      <c r="D4" s="3149" t="s">
        <v>3412</v>
      </c>
      <c r="E4" s="3149" t="s">
        <v>3413</v>
      </c>
      <c r="F4" s="3150">
        <v>6</v>
      </c>
      <c r="G4" s="3150">
        <v>712</v>
      </c>
      <c r="H4" s="3150">
        <v>194.79</v>
      </c>
      <c r="I4" s="3149" t="s">
        <v>3405</v>
      </c>
      <c r="J4" s="3149" t="s">
        <v>3407</v>
      </c>
      <c r="K4" s="3149" t="s">
        <v>3417</v>
      </c>
      <c r="L4" s="3146">
        <v>7187374</v>
      </c>
      <c r="M4" s="3143">
        <f>L4/H4</f>
        <v>36898.06458237076</v>
      </c>
      <c r="N4" s="3142" t="s">
        <v>3461</v>
      </c>
    </row>
    <row r="5" spans="1:14" ht="28.8">
      <c r="A5" s="3149" t="s">
        <v>3418</v>
      </c>
      <c r="B5" s="3149" t="s">
        <v>3419</v>
      </c>
      <c r="C5" s="3149" t="s">
        <v>3420</v>
      </c>
      <c r="D5" s="3149" t="s">
        <v>3412</v>
      </c>
      <c r="E5" s="3149" t="s">
        <v>3413</v>
      </c>
      <c r="F5" s="3150">
        <v>12</v>
      </c>
      <c r="G5" s="3150">
        <v>1511</v>
      </c>
      <c r="H5" s="3150">
        <v>179.5</v>
      </c>
      <c r="I5" s="3149" t="s">
        <v>3405</v>
      </c>
      <c r="J5" s="3149" t="s">
        <v>3407</v>
      </c>
      <c r="K5" s="3149" t="s">
        <v>3417</v>
      </c>
      <c r="L5" s="3146">
        <v>6747975</v>
      </c>
      <c r="M5" s="3143">
        <f t="shared" ref="M5:M8" si="0">L5/H5</f>
        <v>37593.175487465182</v>
      </c>
      <c r="N5" s="3142" t="s">
        <v>3459</v>
      </c>
    </row>
    <row r="6" spans="1:14" ht="28.8">
      <c r="A6" s="3149" t="s">
        <v>3423</v>
      </c>
      <c r="B6" s="3149" t="s">
        <v>3421</v>
      </c>
      <c r="C6" s="3149" t="s">
        <v>3422</v>
      </c>
      <c r="D6" s="3149" t="s">
        <v>3412</v>
      </c>
      <c r="E6" s="3149" t="s">
        <v>3413</v>
      </c>
      <c r="F6" s="3150">
        <v>15</v>
      </c>
      <c r="G6" s="3150">
        <v>1805</v>
      </c>
      <c r="H6" s="3150">
        <v>199.86</v>
      </c>
      <c r="I6" s="3149" t="s">
        <v>3405</v>
      </c>
      <c r="J6" s="3149" t="s">
        <v>3407</v>
      </c>
      <c r="K6" s="3149" t="s">
        <v>3417</v>
      </c>
      <c r="L6" s="3146">
        <v>7869764</v>
      </c>
      <c r="M6" s="3143">
        <f t="shared" si="0"/>
        <v>39376.383468427899</v>
      </c>
      <c r="N6" s="3142" t="s">
        <v>3457</v>
      </c>
    </row>
    <row r="7" spans="1:14" ht="28.8">
      <c r="A7" s="3149" t="s">
        <v>3424</v>
      </c>
      <c r="B7" s="3149" t="s">
        <v>3425</v>
      </c>
      <c r="C7" s="3149" t="s">
        <v>3426</v>
      </c>
      <c r="D7" s="3149" t="s">
        <v>3412</v>
      </c>
      <c r="E7" s="3149" t="s">
        <v>3413</v>
      </c>
      <c r="F7" s="3150">
        <v>17</v>
      </c>
      <c r="G7" s="3150">
        <v>2006</v>
      </c>
      <c r="H7" s="3150">
        <v>114.36</v>
      </c>
      <c r="I7" s="3149" t="s">
        <v>3405</v>
      </c>
      <c r="J7" s="3149" t="s">
        <v>3407</v>
      </c>
      <c r="K7" s="3149" t="s">
        <v>3417</v>
      </c>
      <c r="L7" s="3146">
        <v>6619533</v>
      </c>
      <c r="M7" s="3143">
        <f t="shared" si="0"/>
        <v>57883.289611752363</v>
      </c>
      <c r="N7" s="3142" t="s">
        <v>3457</v>
      </c>
    </row>
    <row r="8" spans="1:14" ht="28.8">
      <c r="A8" s="3149" t="s">
        <v>3427</v>
      </c>
      <c r="B8" s="3149" t="s">
        <v>3428</v>
      </c>
      <c r="C8" s="3149" t="s">
        <v>3429</v>
      </c>
      <c r="D8" s="3149" t="s">
        <v>3412</v>
      </c>
      <c r="E8" s="3149" t="s">
        <v>3413</v>
      </c>
      <c r="F8" s="3150">
        <v>17</v>
      </c>
      <c r="G8" s="3150">
        <v>2012</v>
      </c>
      <c r="H8" s="3150">
        <v>204.64</v>
      </c>
      <c r="I8" s="3149" t="s">
        <v>3405</v>
      </c>
      <c r="J8" s="3149" t="s">
        <v>3407</v>
      </c>
      <c r="K8" s="3149" t="s">
        <v>3417</v>
      </c>
      <c r="L8" s="3146">
        <v>8128524</v>
      </c>
      <c r="M8" s="3143">
        <f t="shared" si="0"/>
        <v>39721.090695856139</v>
      </c>
      <c r="N8" s="3142" t="s">
        <v>3457</v>
      </c>
    </row>
    <row r="9" spans="1:14">
      <c r="G9" s="3142" t="s">
        <v>2591</v>
      </c>
      <c r="H9" s="3143">
        <f>SUM(H4:H8)</f>
        <v>893.15</v>
      </c>
      <c r="L9" s="3143">
        <f>SUM(L4:L8)</f>
        <v>36553170</v>
      </c>
    </row>
    <row r="11" spans="1:14" ht="28.8">
      <c r="C11" s="3142" t="s">
        <v>3457</v>
      </c>
      <c r="D11" s="3143">
        <f>D13*3</f>
        <v>18</v>
      </c>
      <c r="E11" s="3152" t="s">
        <v>3462</v>
      </c>
    </row>
    <row r="12" spans="1:14">
      <c r="C12" s="3142" t="s">
        <v>3459</v>
      </c>
      <c r="D12" s="3143">
        <f>D13*2</f>
        <v>12</v>
      </c>
      <c r="E12" s="3152" t="s">
        <v>3463</v>
      </c>
    </row>
    <row r="13" spans="1:14">
      <c r="C13" s="3142" t="s">
        <v>3461</v>
      </c>
      <c r="D13" s="3143">
        <f>18/3</f>
        <v>6</v>
      </c>
      <c r="E13" s="3152" t="s">
        <v>3464</v>
      </c>
    </row>
    <row r="16" spans="1:14">
      <c r="A16" s="3162" t="s">
        <v>3516</v>
      </c>
      <c r="B16" s="3150"/>
      <c r="C16" s="3150"/>
      <c r="D16" s="3150"/>
      <c r="E16" s="3150"/>
      <c r="F16" s="3150"/>
    </row>
    <row r="17" spans="1:6" ht="28.8">
      <c r="A17" s="3149" t="s">
        <v>3521</v>
      </c>
      <c r="B17" s="3149" t="s">
        <v>3408</v>
      </c>
      <c r="C17" s="3149" t="s">
        <v>3522</v>
      </c>
      <c r="D17" s="3149" t="s">
        <v>3518</v>
      </c>
      <c r="E17" s="3149" t="s">
        <v>3519</v>
      </c>
      <c r="F17" s="3149" t="s">
        <v>3520</v>
      </c>
    </row>
    <row r="18" spans="1:6">
      <c r="A18" s="3460">
        <v>2012</v>
      </c>
      <c r="B18" s="3462">
        <v>204.64</v>
      </c>
      <c r="C18" s="3464" t="s">
        <v>3517</v>
      </c>
      <c r="D18" s="3150">
        <v>36724.35</v>
      </c>
      <c r="E18" s="3150">
        <v>30994.43</v>
      </c>
      <c r="F18" s="3150">
        <v>28435.26</v>
      </c>
    </row>
    <row r="19" spans="1:6">
      <c r="A19" s="3461"/>
      <c r="B19" s="3463"/>
      <c r="C19" s="3465"/>
      <c r="D19" s="3150">
        <f>ROUND(D18/B18/30,2)</f>
        <v>5.98</v>
      </c>
      <c r="E19" s="3163">
        <f>ROUND(E18/B18/30,2)</f>
        <v>5.05</v>
      </c>
      <c r="F19" s="3150">
        <f>ROUND(F18/B18/30,2)</f>
        <v>4.63</v>
      </c>
    </row>
    <row r="20" spans="1:6">
      <c r="A20" s="3460">
        <v>1511</v>
      </c>
      <c r="B20" s="3462">
        <v>179.5</v>
      </c>
      <c r="C20" s="3466">
        <v>45786</v>
      </c>
      <c r="D20" s="3150">
        <v>32758.75</v>
      </c>
      <c r="E20" s="3150">
        <v>27732.75</v>
      </c>
      <c r="F20" s="3150">
        <v>26412.14</v>
      </c>
    </row>
    <row r="21" spans="1:6">
      <c r="A21" s="3461"/>
      <c r="B21" s="3463"/>
      <c r="C21" s="3467"/>
      <c r="D21" s="3150">
        <f>ROUND(D20/$B$20/30,2)</f>
        <v>6.08</v>
      </c>
      <c r="E21" s="3163">
        <f t="shared" ref="E21:F21" si="1">ROUND(E20/$B$20/30,2)</f>
        <v>5.15</v>
      </c>
      <c r="F21" s="3150">
        <f t="shared" si="1"/>
        <v>4.9000000000000004</v>
      </c>
    </row>
  </sheetData>
  <mergeCells count="6">
    <mergeCell ref="A18:A19"/>
    <mergeCell ref="A20:A21"/>
    <mergeCell ref="B18:B19"/>
    <mergeCell ref="B20:B21"/>
    <mergeCell ref="C18:C19"/>
    <mergeCell ref="C20:C2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J3:P56"/>
  <sheetViews>
    <sheetView zoomScale="115" zoomScaleNormal="115" workbookViewId="0">
      <selection activeCell="M24" sqref="M24"/>
    </sheetView>
  </sheetViews>
  <sheetFormatPr defaultRowHeight="14.4"/>
  <cols>
    <col min="10" max="10" width="12.21875" customWidth="1"/>
  </cols>
  <sheetData>
    <row r="3" spans="10:14">
      <c r="J3" s="1404" t="s">
        <v>3510</v>
      </c>
    </row>
    <row r="4" spans="10:14">
      <c r="J4" s="1404" t="s">
        <v>3527</v>
      </c>
    </row>
    <row r="13" spans="10:14">
      <c r="J13" s="3160" t="s">
        <v>3506</v>
      </c>
      <c r="K13" s="3161"/>
      <c r="L13" s="3161"/>
      <c r="M13" s="3161"/>
      <c r="N13" s="3161"/>
    </row>
    <row r="14" spans="10:14">
      <c r="J14" s="3160" t="s">
        <v>3470</v>
      </c>
      <c r="K14" s="3160" t="s">
        <v>3478</v>
      </c>
      <c r="L14" s="3160" t="s">
        <v>3479</v>
      </c>
      <c r="M14" s="3160" t="s">
        <v>3480</v>
      </c>
      <c r="N14" s="3160" t="s">
        <v>3481</v>
      </c>
    </row>
    <row r="15" spans="10:14">
      <c r="J15" s="3160" t="s">
        <v>3471</v>
      </c>
      <c r="K15" s="3161">
        <v>192.62</v>
      </c>
      <c r="L15" s="3161">
        <v>33746</v>
      </c>
      <c r="M15" s="3160" t="s">
        <v>3474</v>
      </c>
      <c r="N15" s="3160" t="s">
        <v>3476</v>
      </c>
    </row>
    <row r="16" spans="10:14">
      <c r="J16" s="3160" t="s">
        <v>3472</v>
      </c>
      <c r="K16" s="3161">
        <v>173.24</v>
      </c>
      <c r="L16" s="3161">
        <v>30594</v>
      </c>
      <c r="M16" s="3160" t="s">
        <v>3475</v>
      </c>
      <c r="N16" s="3160" t="s">
        <v>3477</v>
      </c>
    </row>
    <row r="17" spans="10:14">
      <c r="J17" s="3160" t="s">
        <v>3473</v>
      </c>
      <c r="K17" s="3161">
        <v>267</v>
      </c>
      <c r="L17" s="3161">
        <v>31500</v>
      </c>
      <c r="M17" s="3160" t="s">
        <v>3475</v>
      </c>
      <c r="N17" s="3160" t="s">
        <v>3476</v>
      </c>
    </row>
    <row r="52" spans="12:16">
      <c r="L52" s="3160" t="s">
        <v>3508</v>
      </c>
      <c r="M52" s="3161"/>
      <c r="N52" s="3161"/>
      <c r="O52" s="3161"/>
      <c r="P52" s="3161"/>
    </row>
    <row r="53" spans="12:16">
      <c r="L53" s="3160" t="s">
        <v>3470</v>
      </c>
      <c r="M53" s="3160" t="s">
        <v>3478</v>
      </c>
      <c r="N53" s="3160" t="s">
        <v>3508</v>
      </c>
      <c r="O53" s="3160" t="s">
        <v>3480</v>
      </c>
      <c r="P53" s="3160" t="s">
        <v>3481</v>
      </c>
    </row>
    <row r="54" spans="12:16">
      <c r="L54" s="3160" t="s">
        <v>3471</v>
      </c>
      <c r="M54" s="3161">
        <v>148</v>
      </c>
      <c r="N54" s="3161">
        <v>4.5</v>
      </c>
      <c r="O54" s="3160" t="s">
        <v>3474</v>
      </c>
      <c r="P54" s="3160" t="s">
        <v>3476</v>
      </c>
    </row>
    <row r="55" spans="12:16">
      <c r="L55" s="3160" t="s">
        <v>3472</v>
      </c>
      <c r="M55" s="3161">
        <v>173.24</v>
      </c>
      <c r="N55" s="3161">
        <v>4.5</v>
      </c>
      <c r="O55" s="3160" t="s">
        <v>3475</v>
      </c>
      <c r="P55" s="3160" t="s">
        <v>3476</v>
      </c>
    </row>
    <row r="56" spans="12:16">
      <c r="L56" s="3160" t="s">
        <v>3473</v>
      </c>
      <c r="M56" s="3161">
        <v>152.43</v>
      </c>
      <c r="N56" s="3161">
        <v>4.5</v>
      </c>
      <c r="O56" s="3160" t="s">
        <v>3475</v>
      </c>
      <c r="P56" s="3160" t="s">
        <v>3476</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v>1511</v>
      </c>
      <c r="C1" s="1716"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465.24689999999998</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25919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2812556</v>
      </c>
      <c r="D5" s="203" t="s">
        <v>1469</v>
      </c>
      <c r="E5" s="204" t="s">
        <v>1470</v>
      </c>
      <c r="F5" s="204" t="s">
        <v>1471</v>
      </c>
      <c r="G5" s="205"/>
    </row>
    <row r="6" spans="1:8" s="206" customFormat="1" ht="13.5" customHeight="1">
      <c r="A6" s="732" t="s">
        <v>1472</v>
      </c>
      <c r="B6" s="207" t="s">
        <v>1473</v>
      </c>
      <c r="C6" s="208">
        <f>ROUND(基准地价修正!D33*基准地价修正!C33,0)</f>
        <v>2694475</v>
      </c>
      <c r="D6" s="209"/>
      <c r="E6" s="210"/>
      <c r="F6" s="210"/>
      <c r="G6" s="211"/>
    </row>
    <row r="7" spans="1:8" s="206" customFormat="1" ht="13.5" customHeight="1">
      <c r="A7" s="732" t="s">
        <v>1474</v>
      </c>
      <c r="B7" s="207" t="s">
        <v>1475</v>
      </c>
      <c r="C7" s="212">
        <f>ROUND(C6*F7,0)</f>
        <v>82181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35900</v>
      </c>
      <c r="D8" s="214"/>
      <c r="E8" s="212"/>
      <c r="F8" s="213"/>
      <c r="G8" s="1713" t="s">
        <v>3468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35900</v>
      </c>
      <c r="D10" s="795">
        <f ca="1">IF(B1="",'数据-汇总表'!E6,IF(INDIRECT("'数据-取费表'!c"&amp;$G$1)="住宅",INDIRECT("'数据-取费表'!s"&amp;$G$1),INDIRECT("'数据-取费表'!k"&amp;$G$1)+INDIRECT("'数据-取费表'!s"&amp;$G$1)))</f>
        <v>179.5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179.5</v>
      </c>
      <c r="E19" s="203">
        <f>'数据-取费表'!B31</f>
        <v>200</v>
      </c>
      <c r="F19" s="223"/>
      <c r="G19" s="1713" t="s">
        <v>3469</v>
      </c>
    </row>
    <row r="20" spans="1:7" s="206" customFormat="1" ht="13.5" customHeight="1">
      <c r="A20" s="247" t="s">
        <v>1574</v>
      </c>
      <c r="B20" s="202" t="s">
        <v>1575</v>
      </c>
      <c r="C20" s="224">
        <f ca="1">ROUND((C5+C19)*F20,0)</f>
        <v>56251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178825</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177081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1744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430321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430321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3767688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892115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807750</v>
      </c>
      <c r="D34" s="209"/>
      <c r="E34" s="212"/>
      <c r="F34" s="249"/>
      <c r="G34" s="211"/>
    </row>
    <row r="35" spans="1:7" ht="13.5" customHeight="1">
      <c r="A35" s="734" t="s">
        <v>351</v>
      </c>
      <c r="B35" s="207" t="s">
        <v>1527</v>
      </c>
      <c r="C35" s="212">
        <f ca="1">ROUND(C34*F35,0)</f>
        <v>32310</v>
      </c>
      <c r="D35" s="212"/>
      <c r="E35" s="212"/>
      <c r="F35" s="251">
        <f>'数据-取费表'!B33</f>
        <v>0.04</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35900</v>
      </c>
      <c r="D37" s="209">
        <f ca="1">D19</f>
        <v>179.5</v>
      </c>
      <c r="E37" s="241">
        <f>'数据-取费表'!B35</f>
        <v>200</v>
      </c>
      <c r="F37" s="251"/>
      <c r="G37" s="253"/>
    </row>
    <row r="38" spans="1:7" ht="13.5" customHeight="1">
      <c r="A38" s="734" t="s">
        <v>354</v>
      </c>
      <c r="B38" s="207" t="s">
        <v>1533</v>
      </c>
      <c r="C38" s="212">
        <f ca="1">ROUND(C34*F38,0)</f>
        <v>16155</v>
      </c>
      <c r="D38" s="212"/>
      <c r="E38" s="212"/>
      <c r="F38" s="251">
        <f>'数据-取费表'!B36</f>
        <v>0.02</v>
      </c>
      <c r="G38" s="211" t="s">
        <v>1528</v>
      </c>
    </row>
    <row r="39" spans="1:7" s="206" customFormat="1" ht="13.5" customHeight="1">
      <c r="A39" s="247" t="s">
        <v>1534</v>
      </c>
      <c r="B39" s="202" t="s">
        <v>1535</v>
      </c>
      <c r="C39" s="224">
        <f ca="1">ROUND(C33*F20,0)</f>
        <v>17842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28209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27656</v>
      </c>
      <c r="D42" s="230"/>
      <c r="E42" s="230"/>
      <c r="F42" s="231"/>
      <c r="G42" s="3355" t="s">
        <v>1591</v>
      </c>
    </row>
    <row r="43" spans="1:7" ht="13.5" customHeight="1">
      <c r="A43" s="734" t="s">
        <v>347</v>
      </c>
      <c r="B43" s="207" t="s">
        <v>1545</v>
      </c>
      <c r="C43" s="230">
        <f ca="1">ROUND(IF('数据-取费表'!B22&lt;=1,C39*F22*'数据-取费表'!B20/2,C39*(POWER((1+F22),'数据-取费表'!B20/2)-1)),0)</f>
        <v>553</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136494</v>
      </c>
      <c r="D45" s="227">
        <f ca="1">C47</f>
        <v>3.0000000000000001E-3</v>
      </c>
      <c r="E45" s="228" t="s">
        <v>1539</v>
      </c>
      <c r="F45" s="238">
        <f ca="1">F27</f>
        <v>0.15</v>
      </c>
      <c r="G45" s="239" t="s">
        <v>1548</v>
      </c>
    </row>
    <row r="46" spans="1:7" s="206" customFormat="1" ht="13.5" customHeight="1">
      <c r="A46" s="734" t="s">
        <v>346</v>
      </c>
      <c r="B46" s="240" t="s">
        <v>1549</v>
      </c>
      <c r="C46" s="241">
        <f ca="1">ROUND((C33+C39)*F27,0)</f>
        <v>136494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1164186</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884781</v>
      </c>
      <c r="D51" s="224"/>
      <c r="E51" s="224"/>
      <c r="F51" s="256"/>
      <c r="G51" s="226" t="s">
        <v>1560</v>
      </c>
    </row>
    <row r="52" spans="1:7" s="200" customFormat="1" ht="16.8" thickBot="1">
      <c r="A52" s="257" t="s">
        <v>1561</v>
      </c>
      <c r="B52" s="258"/>
      <c r="C52" s="259">
        <f ca="1">C31+C51</f>
        <v>4652469</v>
      </c>
      <c r="D52" s="258"/>
      <c r="E52" s="258"/>
      <c r="F52" s="258"/>
      <c r="G52" s="260"/>
    </row>
    <row r="55" spans="1:7" ht="15">
      <c r="B55" s="262" t="s">
        <v>1562</v>
      </c>
      <c r="C55" s="263"/>
    </row>
    <row r="56" spans="1:7">
      <c r="B56" s="265" t="s">
        <v>802</v>
      </c>
      <c r="C56" s="267">
        <f ca="1">1-C57</f>
        <v>0.81</v>
      </c>
    </row>
    <row r="57" spans="1:7">
      <c r="B57" s="265" t="s">
        <v>803</v>
      </c>
      <c r="C57" s="266">
        <f ca="1">ROUND(C51/C52,3)</f>
        <v>0.19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2" zoomScaleNormal="80" zoomScaleSheetLayoutView="100" workbookViewId="0">
      <selection activeCell="G7" sqref="G7"/>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179.5</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269</v>
      </c>
      <c r="C2" s="1845" t="s">
        <v>1935</v>
      </c>
      <c r="D2" s="162" t="s">
        <v>1936</v>
      </c>
      <c r="E2" s="3118"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Ⅳ-16</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24274</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14986</v>
      </c>
      <c r="C3" s="1845" t="s">
        <v>1941</v>
      </c>
      <c r="D3" s="162" t="s">
        <v>1942</v>
      </c>
      <c r="E3" s="3116" t="s">
        <v>3394</v>
      </c>
      <c r="F3" s="1847" t="s">
        <v>3395</v>
      </c>
      <c r="G3" s="708">
        <f>IF(F3="宗地容积率",'数据-汇总表'!I4,IF(F3="估价对象容积率",'数据-汇总表'!I6,'数据-汇总表'!I7))</f>
        <v>3.7</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19133</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5"/>
      <c r="B4" s="3476"/>
      <c r="C4" s="3476"/>
      <c r="D4" s="3477"/>
      <c r="E4" s="3477"/>
      <c r="F4" s="3477"/>
      <c r="G4" s="3477"/>
      <c r="H4" s="3477"/>
      <c r="I4" s="3477"/>
      <c r="J4" s="3478"/>
      <c r="K4" s="1056"/>
      <c r="L4" s="1846" t="s">
        <v>1946</v>
      </c>
      <c r="M4" s="811">
        <f>SUMPRODUCT((区片价!B55:B86=I2)*(区片价!C3:G3=E2)*(区片价!C55:G86))</f>
        <v>18620</v>
      </c>
      <c r="N4" s="813">
        <f>SUMPRODUCT((因素修正幅度!B55:B86=I2)*(因素修正幅度!C3:G3=E2)*(因素修正幅度!C55:G86))</f>
        <v>8.8999999999999996E-2</v>
      </c>
      <c r="O4" s="1056"/>
      <c r="P4" s="1056"/>
      <c r="Q4" s="1056"/>
      <c r="R4" s="1129">
        <v>3</v>
      </c>
      <c r="S4" s="3061">
        <f>ROUND(SUMPRODUCT((B106:B110=R4)*(C105:N105=G2)*(C106:N110)),4)</f>
        <v>1.0004999999999999</v>
      </c>
      <c r="T4" s="3061">
        <f t="shared" si="0"/>
        <v>16170</v>
      </c>
      <c r="U4" s="1130"/>
      <c r="V4" s="3061">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f>ROUND(IF(E2="商业",C6*C7*C17+C20,(IF(E2="住宅",C6*C13*C17+C20,IF(E2="办公",C6*C12*C17+C20,C6+C20)))),0)</f>
        <v>18620</v>
      </c>
      <c r="D5" s="1251">
        <f>ROUND(C6*C17+C20,0)</f>
        <v>18620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14261</v>
      </c>
      <c r="U5" s="1130"/>
      <c r="V5" s="3061">
        <f t="shared" si="1"/>
        <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18620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13705</v>
      </c>
      <c r="U6" s="1130"/>
      <c r="V6" s="3061">
        <f t="shared" si="1"/>
        <v>0</v>
      </c>
      <c r="W6" s="1133"/>
      <c r="X6" s="1133"/>
      <c r="Y6" s="1133"/>
      <c r="Z6" s="1133"/>
      <c r="AA6" s="1133"/>
      <c r="AB6" s="1133"/>
      <c r="AC6" s="1854"/>
      <c r="AD6" s="1855"/>
      <c r="AE6" s="1855"/>
      <c r="AF6" s="1855"/>
      <c r="AG6" s="1855"/>
      <c r="AH6" s="1855"/>
      <c r="AI6" s="1855"/>
      <c r="AJ6" s="1856"/>
    </row>
    <row r="7" spans="1:36" ht="24.6" thickBot="1">
      <c r="A7" s="3010" t="s">
        <v>3236</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6" t="s">
        <v>1955</v>
      </c>
      <c r="X7" s="1131" t="str">
        <f>G2</f>
        <v>四级</v>
      </c>
      <c r="Y7" s="1131" t="s">
        <v>1956</v>
      </c>
      <c r="Z7" s="1132">
        <f>G3</f>
        <v>3.7</v>
      </c>
      <c r="AA7" s="1133"/>
      <c r="AB7" s="1133"/>
      <c r="AC7" s="1134"/>
      <c r="AD7" s="1135"/>
      <c r="AE7" s="1135"/>
      <c r="AF7" s="1135"/>
      <c r="AG7" s="1135"/>
      <c r="AH7" s="1135"/>
      <c r="AI7" s="1135"/>
      <c r="AJ7" s="1136"/>
    </row>
    <row r="8" spans="1:36" ht="15">
      <c r="A8" s="3007"/>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2" t="s">
        <v>1960</v>
      </c>
      <c r="X8" s="34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4"/>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3237</v>
      </c>
      <c r="B12" s="3011" t="s">
        <v>3238</v>
      </c>
      <c r="C12" s="3012">
        <v>1</v>
      </c>
      <c r="D12" s="3013" t="s">
        <v>3239</v>
      </c>
      <c r="E12" s="3014" t="s">
        <v>3240</v>
      </c>
      <c r="F12" s="3015"/>
      <c r="G12" s="3016"/>
      <c r="H12" s="3016"/>
      <c r="I12" s="3016"/>
      <c r="J12" s="3017"/>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3241</v>
      </c>
      <c r="B13" s="1877" t="s">
        <v>1982</v>
      </c>
      <c r="C13" s="711">
        <f>ROUND(C16*D16*E16*F16*G16*H16*I16*J16,4)</f>
        <v>0</v>
      </c>
      <c r="D13" s="1878" t="s">
        <v>1983</v>
      </c>
      <c r="E13" s="1879"/>
      <c r="F13" s="1879"/>
      <c r="G13" s="1880"/>
      <c r="H13" s="1880"/>
      <c r="I13" s="1880"/>
      <c r="J13" s="1881"/>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2" t="s">
        <v>1985</v>
      </c>
      <c r="C14" s="1883" t="s">
        <v>1986</v>
      </c>
      <c r="D14" s="1260" t="s">
        <v>1987</v>
      </c>
      <c r="E14" s="27" t="s">
        <v>1988</v>
      </c>
      <c r="F14" s="3018" t="s">
        <v>3242</v>
      </c>
      <c r="G14" s="3018" t="s">
        <v>3242</v>
      </c>
      <c r="H14" s="3018" t="s">
        <v>3242</v>
      </c>
      <c r="I14" s="3018" t="s">
        <v>3242</v>
      </c>
      <c r="J14" s="3018" t="s">
        <v>3242</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4"/>
      <c r="C15" s="1885"/>
      <c r="D15" s="1886"/>
      <c r="E15" s="1887"/>
      <c r="F15" s="1469" t="s">
        <v>3243</v>
      </c>
      <c r="G15" s="1927"/>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3"/>
      <c r="M16" s="1843"/>
      <c r="N16" s="1843"/>
      <c r="O16" s="1843"/>
      <c r="P16" s="1843"/>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3244</v>
      </c>
      <c r="B17" s="3025" t="s">
        <v>3245</v>
      </c>
      <c r="C17" s="3034">
        <f>ROUND(IF(OR(E2="工业",E2="公共服务"),1,IF(AND(E18=0,E19=0),1,IF(AND(E18=J24,E19=G19),0.8,IF(E19=0,1+E17*(-0.2),1+E17*G17*(-0.2))))),4)</f>
        <v>1</v>
      </c>
      <c r="D17" s="3026" t="s">
        <v>3246</v>
      </c>
      <c r="E17" s="3034">
        <f>ROUND(G18/I18,2)</f>
        <v>0</v>
      </c>
      <c r="F17" s="3026" t="s">
        <v>3249</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6"/>
      <c r="B18" s="2309"/>
      <c r="C18" s="3032"/>
      <c r="D18" s="3027" t="s">
        <v>3247</v>
      </c>
      <c r="E18" s="2355"/>
      <c r="F18" s="3028" t="s">
        <v>3250</v>
      </c>
      <c r="G18" s="3032">
        <f>ROUND(1-(1/(POWER(1+G24,E18))),4)</f>
        <v>0</v>
      </c>
      <c r="H18" s="3028" t="s">
        <v>3252</v>
      </c>
      <c r="I18" s="3032">
        <f>ROUND(1-(1/(POWER(1+G24,J24))),4)</f>
        <v>0.93120000000000003</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0"/>
    </row>
    <row r="19" spans="1:37" s="1857" customFormat="1" ht="14.4" thickBot="1">
      <c r="A19" s="3038"/>
      <c r="B19" s="3039"/>
      <c r="C19" s="3040"/>
      <c r="D19" s="3040" t="s">
        <v>3248</v>
      </c>
      <c r="E19" s="3041"/>
      <c r="F19" s="3042" t="s">
        <v>3251</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3"/>
      <c r="AH19" s="1979"/>
      <c r="AI19" s="561"/>
      <c r="AJ19" s="561"/>
      <c r="AK19" s="1898"/>
    </row>
    <row r="20" spans="1:37" s="1857" customFormat="1" ht="13.8">
      <c r="A20" s="3479" t="s">
        <v>3253</v>
      </c>
      <c r="B20" s="159" t="s">
        <v>1994</v>
      </c>
      <c r="C20" s="3029">
        <f>ROUND(IF(F21="与级别开发程度一致",0,(G21-E21)/C21),0)</f>
        <v>0</v>
      </c>
      <c r="D20" s="3044" t="s">
        <v>1998</v>
      </c>
      <c r="E20" s="3045"/>
      <c r="F20" s="3485" t="s">
        <v>1995</v>
      </c>
      <c r="G20" s="3486"/>
      <c r="H20" s="3030"/>
      <c r="I20" s="3030"/>
      <c r="J20" s="3031"/>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7" customFormat="1" ht="27" thickBot="1">
      <c r="A21" s="3480"/>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3467</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2002</v>
      </c>
      <c r="E23" s="717">
        <v>44197</v>
      </c>
      <c r="F23" s="1895" t="s">
        <v>2003</v>
      </c>
      <c r="G23" s="718">
        <f>'数据-取费表'!B2</f>
        <v>45649</v>
      </c>
      <c r="H23" s="3046" t="s">
        <v>3255</v>
      </c>
      <c r="I23" s="3047" t="str">
        <f>IF(H23="季度增幅（自定义）",SUMIF(N25:N28,E2,O25:O28),"")</f>
        <v/>
      </c>
      <c r="J23" s="3139" t="s">
        <v>3254</v>
      </c>
      <c r="K23" s="1061"/>
      <c r="L23" s="1896" t="s">
        <v>2004</v>
      </c>
      <c r="M23" s="1241">
        <f>ROUND(SUMIF(地价!B2:G2,E2,地价!B16:G16),0)</f>
        <v>350</v>
      </c>
      <c r="N23" s="1897"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0.83399999999999996</v>
      </c>
      <c r="D24" s="1901" t="s">
        <v>2007</v>
      </c>
      <c r="E24" s="1248">
        <f>存贷款利率!E27/100</f>
        <v>4.3499999999999997E-2</v>
      </c>
      <c r="F24" s="1901" t="s">
        <v>1999</v>
      </c>
      <c r="G24" s="724">
        <f>SUMIF(M30:Q30,E2,M33:Q33)</f>
        <v>5.5E-2</v>
      </c>
      <c r="H24" s="1901" t="s">
        <v>2008</v>
      </c>
      <c r="I24" s="725">
        <f>SUMIF('数据-取费表'!C6:C15,E2,'数据-取费表'!F6:F15)/COUNTIF('数据-取费表'!C6:C15,E2)</f>
        <v>28</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6" t="s">
        <v>366</v>
      </c>
      <c r="B25" s="1907" t="s">
        <v>3334</v>
      </c>
      <c r="C25" s="461">
        <f>IF(B25="容积率修正",IF(G3&lt;10,D26,J26),C27)</f>
        <v>0.92879999999999996</v>
      </c>
      <c r="D25" s="1908"/>
      <c r="E25" s="1908"/>
      <c r="F25" s="1908"/>
      <c r="G25" s="1908"/>
      <c r="H25" s="1908"/>
      <c r="I25" s="1908"/>
      <c r="J25" s="1909"/>
      <c r="K25" s="1061"/>
      <c r="L25" s="2550"/>
      <c r="M25" s="2550"/>
      <c r="N25" s="1910"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3256</v>
      </c>
      <c r="D26" s="1262">
        <f>IF(E26=G26,F26,IF(G3&lt;10,ROUND(F26+(H26-F26)*(G3-E26)/(G26-E26),4),"——"))</f>
        <v>0.92879999999999996</v>
      </c>
      <c r="E26" s="708">
        <f>ROUNDDOWN(G3,1)</f>
        <v>3.7</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08">
        <f>ROUNDUP(G3,1)</f>
        <v>3.7</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1911" t="s">
        <v>3257</v>
      </c>
      <c r="J26" s="374" t="str">
        <f>IF(G3&gt;=10,D115,"——")</f>
        <v>——</v>
      </c>
      <c r="K26" s="1061"/>
      <c r="L26" s="2550"/>
      <c r="M26" s="2550"/>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1.0326</v>
      </c>
      <c r="D28" s="1893"/>
      <c r="E28" s="1918"/>
      <c r="F28" s="1918"/>
      <c r="G28" s="1918"/>
      <c r="H28" s="1918"/>
      <c r="I28" s="1918"/>
      <c r="J28" s="1919"/>
      <c r="K28" s="1061"/>
      <c r="L28" s="2550"/>
      <c r="M28" s="2550"/>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269</v>
      </c>
      <c r="D30" s="1924"/>
      <c r="E30" s="1841"/>
      <c r="F30" s="1925"/>
      <c r="G30" s="1841"/>
      <c r="H30" s="1841"/>
      <c r="I30" s="1841"/>
      <c r="J30" s="1926"/>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15011</v>
      </c>
      <c r="D33" s="1939">
        <f>'数据-汇总表'!E19</f>
        <v>179.5</v>
      </c>
      <c r="E33" s="727">
        <f>ROUND(C33*D33/10000,0)</f>
        <v>269</v>
      </c>
      <c r="F33" s="3048" t="s">
        <v>3259</v>
      </c>
      <c r="G33" s="1940"/>
      <c r="H33" s="1940"/>
      <c r="I33" s="1940"/>
      <c r="J33" s="1941"/>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3753</v>
      </c>
      <c r="D34" s="1944"/>
      <c r="E34" s="727">
        <f>ROUND(IF(B25="楼层修正",SUM(V2:V16)*M40,C34*D34/10000),0)</f>
        <v>0</v>
      </c>
      <c r="F34" s="1945" t="s">
        <v>2032</v>
      </c>
      <c r="G34" s="1946"/>
      <c r="H34" s="1946"/>
      <c r="I34" s="1946"/>
      <c r="J34" s="1947"/>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9" t="s">
        <v>3260</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3264</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83"/>
      <c r="B37" s="1954" t="s">
        <v>2036</v>
      </c>
      <c r="C37" s="167">
        <f>ROUND(D5*C22*C23*C24*C28*F37,0)</f>
        <v>9697</v>
      </c>
      <c r="D37" s="1939"/>
      <c r="E37" s="163">
        <f>ROUND(C37*D37/10000,0)</f>
        <v>0</v>
      </c>
      <c r="F37" s="163">
        <f>SUMIF(修正!A57:A68,G2,修正!B57:B68)</f>
        <v>0.6</v>
      </c>
      <c r="G37" s="163">
        <f>ROUND(IF(E2="工业",C37*$M$42,C37*$M$41),0)</f>
        <v>2424</v>
      </c>
      <c r="H37" s="163">
        <f>D37</f>
        <v>0</v>
      </c>
      <c r="I37" s="163">
        <f>ROUND(G37*H37/10000,0)</f>
        <v>0</v>
      </c>
      <c r="J37" s="2752"/>
      <c r="K37" s="3059" t="s">
        <v>3265</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4"/>
      <c r="B38" s="1883" t="s">
        <v>2037</v>
      </c>
      <c r="C38" s="167">
        <f>ROUND(D5*C22*C23*C24*C28*F38,0)</f>
        <v>4849</v>
      </c>
      <c r="D38" s="1939"/>
      <c r="E38" s="163">
        <f t="shared" ref="E38:E42" si="4">ROUND(C38*D38/10000,0)</f>
        <v>0</v>
      </c>
      <c r="F38" s="163">
        <f>SUMIF(修正!A57:A68,G2,修正!C57:C68)</f>
        <v>0.3</v>
      </c>
      <c r="G38" s="163">
        <f>ROUND(IF(E2="工业",C38*$M$42,C38*$M$41),0)</f>
        <v>1212</v>
      </c>
      <c r="H38" s="163">
        <f t="shared" ref="H38:H42" si="5">D38</f>
        <v>0</v>
      </c>
      <c r="I38" s="163">
        <f t="shared" ref="I38:I42" si="6">ROUND(G38*H38/10000,0)</f>
        <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84"/>
      <c r="B39" s="1883" t="s">
        <v>3258</v>
      </c>
      <c r="C39" s="167">
        <f>ROUND(D5*C22*C23*C24*C28*F39,0)</f>
        <v>4041</v>
      </c>
      <c r="D39" s="1939"/>
      <c r="E39" s="163">
        <f t="shared" si="4"/>
        <v>0</v>
      </c>
      <c r="F39" s="163">
        <f>SUMIF(修正!A57:A68,G2,修正!D57:D68)</f>
        <v>0.25</v>
      </c>
      <c r="G39" s="163">
        <f>ROUND(IF(E2="工业",C39*$M$42,C39*$M$41),0)</f>
        <v>1010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4041</v>
      </c>
      <c r="D40" s="1939"/>
      <c r="E40" s="163">
        <f t="shared" si="4"/>
        <v>0</v>
      </c>
      <c r="F40" s="167">
        <f>SUMIF(修正!A57:A68,G2,修正!E57:E68)</f>
        <v>0.25</v>
      </c>
      <c r="G40" s="163">
        <f>ROUND(IF(E2="工业",C40*$M$42,C40*$M$41),0)</f>
        <v>1010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0" t="s">
        <v>3266</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2119</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1.0326</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t="s">
        <v>3452</v>
      </c>
      <c r="D61" s="1002">
        <f t="shared" ref="D61:D69" si="12">SUMIF($J$60:$N$60,C61,J61:N61)</f>
        <v>0</v>
      </c>
      <c r="E61" s="702">
        <f>ROUND(SUM(D61:D69),4)</f>
        <v>3.2599999999999997E-2</v>
      </c>
      <c r="F61" s="1674">
        <f>IF(E2="办公",SUMIF(L1:L12,G2,N1:N12),"——")</f>
        <v>8.8999999999999996E-2</v>
      </c>
      <c r="G61" s="1000">
        <v>1.11E-2</v>
      </c>
      <c r="H61" s="1003">
        <f t="shared" ref="H61:H69" si="13">IFERROR(ROUNDDOWN($F$61*I61/2,4),"——")</f>
        <v>1.11E-2</v>
      </c>
      <c r="I61" s="3066">
        <v>0.25</v>
      </c>
      <c r="J61" s="1001">
        <f t="shared" ref="J61:J69" si="14">K61+$G61</f>
        <v>2.2200000000000001E-2</v>
      </c>
      <c r="K61" s="1001">
        <f t="shared" ref="K61:K69" si="15">$L61+$G61</f>
        <v>1.11E-2</v>
      </c>
      <c r="L61" s="1001">
        <v>0</v>
      </c>
      <c r="M61" s="1001">
        <f t="shared" ref="M61:N69" si="16">L61-$G61</f>
        <v>-1.11E-2</v>
      </c>
      <c r="N61" s="1001">
        <f t="shared" si="16"/>
        <v>-2.2200000000000001E-2</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t="s">
        <v>3453</v>
      </c>
      <c r="D62" s="1002">
        <f t="shared" si="12"/>
        <v>1.15E-2</v>
      </c>
      <c r="E62" s="703"/>
      <c r="F62" s="1674"/>
      <c r="G62" s="1000">
        <v>1.15E-2</v>
      </c>
      <c r="H62" s="1003">
        <f t="shared" si="13"/>
        <v>1.15E-2</v>
      </c>
      <c r="I62" s="3066">
        <v>0.26</v>
      </c>
      <c r="J62" s="1001">
        <f t="shared" si="14"/>
        <v>2.3E-2</v>
      </c>
      <c r="K62" s="1001">
        <f t="shared" si="15"/>
        <v>1.15E-2</v>
      </c>
      <c r="L62" s="1001">
        <v>0</v>
      </c>
      <c r="M62" s="1001">
        <f t="shared" si="16"/>
        <v>-1.15E-2</v>
      </c>
      <c r="N62" s="1001">
        <f t="shared" si="16"/>
        <v>-2.3E-2</v>
      </c>
      <c r="AA62" s="1057"/>
      <c r="AB62" s="1057"/>
      <c r="AC62" s="1057"/>
      <c r="AD62" s="1057"/>
      <c r="AE62" s="1057"/>
      <c r="AF62" s="1057"/>
      <c r="AG62" s="1057"/>
      <c r="AH62" s="1057"/>
      <c r="AI62" s="1057"/>
      <c r="AJ62" s="1057"/>
      <c r="AK62" s="1057"/>
    </row>
    <row r="63" spans="1:37" s="1056" customFormat="1" ht="48">
      <c r="A63" s="3068" t="s">
        <v>3268</v>
      </c>
      <c r="B63" s="1261">
        <f>估价对象房地状况!C19</f>
        <v>0</v>
      </c>
      <c r="C63" s="1886" t="s">
        <v>3453</v>
      </c>
      <c r="D63" s="1002">
        <f t="shared" si="12"/>
        <v>4.7999999999999996E-3</v>
      </c>
      <c r="E63" s="703"/>
      <c r="F63" s="1674"/>
      <c r="G63" s="1000">
        <v>4.7999999999999996E-3</v>
      </c>
      <c r="H63" s="1003">
        <f t="shared" si="13"/>
        <v>4.7999999999999996E-3</v>
      </c>
      <c r="I63" s="3066">
        <v>0.11</v>
      </c>
      <c r="J63" s="1001">
        <f t="shared" si="14"/>
        <v>9.5999999999999992E-3</v>
      </c>
      <c r="K63" s="1001">
        <f t="shared" si="15"/>
        <v>4.7999999999999996E-3</v>
      </c>
      <c r="L63" s="1001">
        <v>0</v>
      </c>
      <c r="M63" s="1001">
        <f t="shared" si="16"/>
        <v>-4.7999999999999996E-3</v>
      </c>
      <c r="N63" s="1001">
        <f t="shared" si="16"/>
        <v>-9.5999999999999992E-3</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t="s">
        <v>3453</v>
      </c>
      <c r="D64" s="1002">
        <f t="shared" si="12"/>
        <v>2.2000000000000001E-3</v>
      </c>
      <c r="E64" s="703"/>
      <c r="F64" s="1674"/>
      <c r="G64" s="1000">
        <v>2.2000000000000001E-3</v>
      </c>
      <c r="H64" s="1003">
        <f t="shared" si="13"/>
        <v>2.2000000000000001E-3</v>
      </c>
      <c r="I64" s="3066">
        <v>0.05</v>
      </c>
      <c r="J64" s="1001">
        <f t="shared" si="14"/>
        <v>4.4000000000000003E-3</v>
      </c>
      <c r="K64" s="1001">
        <f t="shared" si="15"/>
        <v>2.2000000000000001E-3</v>
      </c>
      <c r="L64" s="1001">
        <v>0</v>
      </c>
      <c r="M64" s="1001">
        <f t="shared" si="16"/>
        <v>-2.2000000000000001E-3</v>
      </c>
      <c r="N64" s="1001">
        <f t="shared" si="16"/>
        <v>-4.4000000000000003E-3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3465</v>
      </c>
      <c r="D65" s="1002">
        <f t="shared" si="12"/>
        <v>-2.2000000000000001E-3</v>
      </c>
      <c r="E65" s="703"/>
      <c r="F65" s="1674"/>
      <c r="G65" s="1000">
        <v>2.2000000000000001E-3</v>
      </c>
      <c r="H65" s="1003">
        <f t="shared" si="13"/>
        <v>2.2000000000000001E-3</v>
      </c>
      <c r="I65" s="3066">
        <v>0.05</v>
      </c>
      <c r="J65" s="1001">
        <f t="shared" si="14"/>
        <v>4.4000000000000003E-3</v>
      </c>
      <c r="K65" s="1001">
        <f t="shared" si="15"/>
        <v>2.2000000000000001E-3</v>
      </c>
      <c r="L65" s="1001">
        <v>0</v>
      </c>
      <c r="M65" s="1001">
        <f t="shared" si="16"/>
        <v>-2.2000000000000001E-3</v>
      </c>
      <c r="N65" s="1001">
        <f t="shared" si="16"/>
        <v>-4.4000000000000003E-3</v>
      </c>
      <c r="AA65" s="1057"/>
      <c r="AB65" s="1057"/>
      <c r="AC65" s="1057"/>
      <c r="AD65" s="1057"/>
      <c r="AE65" s="1057"/>
      <c r="AF65" s="1057"/>
      <c r="AG65" s="1057"/>
      <c r="AH65" s="1057"/>
      <c r="AI65" s="1057"/>
      <c r="AJ65" s="1057"/>
      <c r="AK65" s="1057"/>
    </row>
    <row r="66" spans="1:37" s="1056" customFormat="1" ht="36">
      <c r="A66" s="1969" t="s">
        <v>2057</v>
      </c>
      <c r="B66" s="1974" t="s">
        <v>2058</v>
      </c>
      <c r="C66" s="1886" t="s">
        <v>3453</v>
      </c>
      <c r="D66" s="1002">
        <f t="shared" si="12"/>
        <v>2.5999999999999999E-3</v>
      </c>
      <c r="E66" s="703"/>
      <c r="F66" s="1674"/>
      <c r="G66" s="1000">
        <v>2.5999999999999999E-3</v>
      </c>
      <c r="H66" s="1003">
        <f t="shared" si="13"/>
        <v>2.5999999999999999E-3</v>
      </c>
      <c r="I66" s="3066">
        <v>0.06</v>
      </c>
      <c r="J66" s="1001">
        <f t="shared" si="14"/>
        <v>5.1999999999999998E-3</v>
      </c>
      <c r="K66" s="1001">
        <f t="shared" si="15"/>
        <v>2.5999999999999999E-3</v>
      </c>
      <c r="L66" s="1001">
        <v>0</v>
      </c>
      <c r="M66" s="1001">
        <f t="shared" si="16"/>
        <v>-2.5999999999999999E-3</v>
      </c>
      <c r="N66" s="1001">
        <f t="shared" si="16"/>
        <v>-5.1999999999999998E-3</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t="s">
        <v>3453</v>
      </c>
      <c r="D67" s="1002">
        <f t="shared" si="12"/>
        <v>2.5999999999999999E-3</v>
      </c>
      <c r="E67" s="703"/>
      <c r="F67" s="1674"/>
      <c r="G67" s="1000">
        <v>2.5999999999999999E-3</v>
      </c>
      <c r="H67" s="1003">
        <f t="shared" si="13"/>
        <v>2.5999999999999999E-3</v>
      </c>
      <c r="I67" s="3066">
        <v>0.06</v>
      </c>
      <c r="J67" s="1001">
        <f t="shared" si="14"/>
        <v>5.1999999999999998E-3</v>
      </c>
      <c r="K67" s="1001">
        <f t="shared" si="15"/>
        <v>2.5999999999999999E-3</v>
      </c>
      <c r="L67" s="1001">
        <v>0</v>
      </c>
      <c r="M67" s="1001">
        <f t="shared" si="16"/>
        <v>-2.5999999999999999E-3</v>
      </c>
      <c r="N67" s="1001">
        <f t="shared" si="16"/>
        <v>-5.1999999999999998E-3</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t="s">
        <v>3466</v>
      </c>
      <c r="D68" s="1002">
        <f t="shared" si="12"/>
        <v>8.0000000000000002E-3</v>
      </c>
      <c r="E68" s="703"/>
      <c r="F68" s="1674"/>
      <c r="G68" s="1000">
        <v>4.0000000000000001E-3</v>
      </c>
      <c r="H68" s="1003">
        <f t="shared" si="13"/>
        <v>4.0000000000000001E-3</v>
      </c>
      <c r="I68" s="3066">
        <v>0.09</v>
      </c>
      <c r="J68" s="1001">
        <f t="shared" si="14"/>
        <v>8.0000000000000002E-3</v>
      </c>
      <c r="K68" s="1001">
        <f t="shared" si="15"/>
        <v>4.0000000000000001E-3</v>
      </c>
      <c r="L68" s="1001">
        <v>0</v>
      </c>
      <c r="M68" s="1001">
        <f t="shared" si="16"/>
        <v>-4.0000000000000001E-3</v>
      </c>
      <c r="N68" s="1001">
        <f t="shared" si="16"/>
        <v>-8.0000000000000002E-3</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t="s">
        <v>3453</v>
      </c>
      <c r="D69" s="1002">
        <f t="shared" si="12"/>
        <v>3.0999999999999999E-3</v>
      </c>
      <c r="E69" s="704"/>
      <c r="F69" s="1674"/>
      <c r="G69" s="1000">
        <v>3.0999999999999999E-3</v>
      </c>
      <c r="H69" s="1003">
        <f t="shared" si="13"/>
        <v>3.0999999999999999E-3</v>
      </c>
      <c r="I69" s="3067">
        <v>7.0000000000000007E-2</v>
      </c>
      <c r="J69" s="1001">
        <f t="shared" si="14"/>
        <v>6.1999999999999998E-3</v>
      </c>
      <c r="K69" s="1001">
        <f t="shared" si="15"/>
        <v>3.0999999999999999E-3</v>
      </c>
      <c r="L69" s="1001">
        <v>0</v>
      </c>
      <c r="M69" s="1001">
        <f t="shared" si="16"/>
        <v>-3.0999999999999999E-3</v>
      </c>
      <c r="N69" s="1001">
        <f t="shared" si="16"/>
        <v>-6.1999999999999998E-3</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8" t="s">
        <v>3268</v>
      </c>
      <c r="B74" s="1261">
        <f>估价对象房地状况!C19</f>
        <v>0</v>
      </c>
      <c r="C74" s="1886"/>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4"/>
      <c r="AA84" s="1894"/>
      <c r="AG84" s="1058"/>
      <c r="AK84" s="1894"/>
    </row>
    <row r="85" spans="1:37" ht="48">
      <c r="A85" s="3068" t="s">
        <v>3269</v>
      </c>
      <c r="B85" s="1261">
        <f>估价对象房地状况!G17</f>
        <v>0</v>
      </c>
      <c r="C85" s="1886"/>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3.8">
      <c r="A91" s="3076" t="s">
        <v>2611</v>
      </c>
      <c r="B91" s="3077">
        <f>1+E93</f>
        <v>1</v>
      </c>
      <c r="C91" s="3070"/>
      <c r="D91" s="3071"/>
      <c r="E91" s="1674"/>
      <c r="F91" s="1674"/>
      <c r="G91" s="3072"/>
      <c r="H91" s="3073"/>
      <c r="I91" s="3074"/>
      <c r="J91" s="3075"/>
      <c r="K91" s="3075"/>
      <c r="L91" s="3075"/>
      <c r="M91" s="3075"/>
      <c r="N91" s="3075"/>
    </row>
    <row r="92" spans="1:37" ht="25.2">
      <c r="A92" s="3078" t="s">
        <v>3270</v>
      </c>
      <c r="B92" s="2309"/>
      <c r="C92" s="2309" t="s">
        <v>3279</v>
      </c>
      <c r="D92" s="2309" t="s">
        <v>3280</v>
      </c>
      <c r="E92" s="3050" t="s">
        <v>3281</v>
      </c>
      <c r="F92" s="3080" t="s">
        <v>3282</v>
      </c>
      <c r="G92" s="2309" t="s">
        <v>3283</v>
      </c>
      <c r="H92" s="3087" t="s">
        <v>3286</v>
      </c>
      <c r="I92" s="2309" t="s">
        <v>3287</v>
      </c>
      <c r="J92" s="2149" t="s">
        <v>3288</v>
      </c>
      <c r="K92" s="2149" t="s">
        <v>3289</v>
      </c>
      <c r="L92" s="2149" t="s">
        <v>3290</v>
      </c>
      <c r="M92" s="2149" t="s">
        <v>3291</v>
      </c>
      <c r="N92" s="2149" t="s">
        <v>3292</v>
      </c>
    </row>
    <row r="93" spans="1:37" ht="24">
      <c r="A93" s="3068" t="s">
        <v>3271</v>
      </c>
      <c r="B93" s="1221"/>
      <c r="C93" s="1886"/>
      <c r="D93" s="2309">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3272</v>
      </c>
      <c r="B94" s="3069" t="str">
        <f>估价对象房地状况!C18</f>
        <v>估价对象周边道路状况、公共交通通达情况、停车便捷程度，综合评价交通便捷度较好</v>
      </c>
      <c r="C94" s="1886"/>
      <c r="D94" s="2309">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3268</v>
      </c>
      <c r="B95" s="3069">
        <f>估价对象房地状况!C19</f>
        <v>0</v>
      </c>
      <c r="C95" s="1886"/>
      <c r="D95" s="2309">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3273</v>
      </c>
      <c r="B96" s="3084" t="s">
        <v>3284</v>
      </c>
      <c r="C96" s="1886"/>
      <c r="D96" s="2309">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3274</v>
      </c>
      <c r="B97" s="3069">
        <f>估价对象房地状况!C24</f>
        <v>0</v>
      </c>
      <c r="C97" s="1886"/>
      <c r="D97" s="2309">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3275</v>
      </c>
      <c r="B98" s="3085" t="s">
        <v>3285</v>
      </c>
      <c r="C98" s="1886"/>
      <c r="D98" s="2309">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3276</v>
      </c>
      <c r="B99" s="3069" t="str">
        <f>估价对象房地状况!C21</f>
        <v>估价对象所在区域公共配套设施齐备情况</v>
      </c>
      <c r="C99" s="1886"/>
      <c r="D99" s="2309">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3277</v>
      </c>
      <c r="B100" s="3069" t="str">
        <f>估价对象房地状况!C22</f>
        <v>估价对象所在区域基础设施水平</v>
      </c>
      <c r="C100" s="1886"/>
      <c r="D100" s="2309">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3278</v>
      </c>
      <c r="B101" s="3086" t="str">
        <f>估价对象房地状况!C20</f>
        <v>区域自然环境：；人文环境；综合评价环境状况一般</v>
      </c>
      <c r="C101" s="1886"/>
      <c r="D101" s="2309">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81" t="s">
        <v>3293</v>
      </c>
      <c r="B103" s="3481"/>
      <c r="C103" s="3481"/>
      <c r="D103" s="3481"/>
      <c r="E103" s="3481"/>
      <c r="F103" s="3481"/>
      <c r="G103" s="3481"/>
      <c r="H103" s="3481"/>
      <c r="I103" s="3481"/>
      <c r="J103" s="3481"/>
      <c r="K103" s="1666"/>
      <c r="L103" s="1666"/>
      <c r="M103" s="1666"/>
      <c r="N103" s="1666"/>
    </row>
    <row r="104" spans="1:14">
      <c r="A104" s="3482" t="s">
        <v>3294</v>
      </c>
      <c r="B104" s="3482" t="s">
        <v>3295</v>
      </c>
      <c r="C104" s="3088" t="s">
        <v>3296</v>
      </c>
      <c r="D104" s="3089"/>
      <c r="E104" s="3089"/>
      <c r="F104" s="3089"/>
      <c r="G104" s="3089"/>
      <c r="H104" s="3089"/>
      <c r="I104" s="3089"/>
      <c r="J104" s="3090"/>
      <c r="K104" s="3091"/>
      <c r="L104" s="3091"/>
      <c r="M104" s="3091"/>
      <c r="N104" s="3091"/>
    </row>
    <row r="105" spans="1:14">
      <c r="A105" s="3482"/>
      <c r="B105" s="3482"/>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68"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9"/>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1" t="s">
        <v>3310</v>
      </c>
      <c r="B113" s="3471"/>
      <c r="C113" s="3471"/>
      <c r="D113" s="3471"/>
      <c r="E113" s="3471"/>
      <c r="F113" s="3471"/>
      <c r="G113" s="3471"/>
      <c r="H113" s="3471"/>
      <c r="I113" s="3471"/>
      <c r="J113" s="3471"/>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3311</v>
      </c>
      <c r="B116" s="3112">
        <f>G3</f>
        <v>3.7</v>
      </c>
      <c r="C116" s="3097" t="s">
        <v>3312</v>
      </c>
      <c r="D116" s="3098">
        <f>SUMPRODUCT((A118:A122=F116)*(B117:M117=H116)*B118:M122)</f>
        <v>0.88900000000000001</v>
      </c>
      <c r="E116" s="162" t="s">
        <v>3313</v>
      </c>
      <c r="F116" s="3099" t="str">
        <f>E2</f>
        <v>办公</v>
      </c>
      <c r="G116" s="162" t="s">
        <v>3314</v>
      </c>
      <c r="H116" s="3099" t="str">
        <f>G2</f>
        <v>四级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0.95609999999999995</v>
      </c>
      <c r="C118" s="3087">
        <f>B118</f>
        <v>0.95609999999999995</v>
      </c>
      <c r="D118" s="3087">
        <f>ROUND(0.949-0.014*B116,4)</f>
        <v>0.8972</v>
      </c>
      <c r="E118" s="3087">
        <f>D118</f>
        <v>0.8972</v>
      </c>
      <c r="F118" s="3087">
        <f>E118</f>
        <v>0.8972</v>
      </c>
      <c r="G118" s="3087">
        <f>F118</f>
        <v>0.8972</v>
      </c>
      <c r="H118" s="3087">
        <f>G118</f>
        <v>0.8972</v>
      </c>
      <c r="I118" s="3087">
        <f>ROUND(0.8486-0.018*B116,4)</f>
        <v>0.78200000000000003</v>
      </c>
      <c r="J118" s="3087">
        <f t="shared" ref="J118:M122" si="35">I118</f>
        <v>0.78200000000000003</v>
      </c>
      <c r="K118" s="3087">
        <f t="shared" si="35"/>
        <v>0.78200000000000003</v>
      </c>
      <c r="L118" s="3087">
        <f t="shared" si="35"/>
        <v>0.78200000000000003</v>
      </c>
      <c r="M118" s="3107">
        <f t="shared" si="35"/>
        <v>0.78200000000000003</v>
      </c>
      <c r="N118" s="3095"/>
    </row>
    <row r="119" spans="1:14">
      <c r="A119" s="3055" t="s">
        <v>3328</v>
      </c>
      <c r="B119" s="3087">
        <f>ROUND(0.993-0.0112*B116,4)</f>
        <v>0.9516</v>
      </c>
      <c r="C119" s="3087">
        <f>B119</f>
        <v>0.9516</v>
      </c>
      <c r="D119" s="3087">
        <f>ROUND(0.9415-0.0142*B116,4)</f>
        <v>0.88900000000000001</v>
      </c>
      <c r="E119" s="3087">
        <f t="shared" ref="E119:H120" si="36">D119</f>
        <v>0.88900000000000001</v>
      </c>
      <c r="F119" s="3087">
        <f t="shared" si="36"/>
        <v>0.88900000000000001</v>
      </c>
      <c r="G119" s="3087">
        <f t="shared" si="36"/>
        <v>0.88900000000000001</v>
      </c>
      <c r="H119" s="3087">
        <f t="shared" si="36"/>
        <v>0.88900000000000001</v>
      </c>
      <c r="I119" s="3087">
        <f>ROUND(0.838-0.0182*B116,4)</f>
        <v>0.77070000000000005</v>
      </c>
      <c r="J119" s="3087">
        <f t="shared" si="35"/>
        <v>0.77070000000000005</v>
      </c>
      <c r="K119" s="3087">
        <f t="shared" si="35"/>
        <v>0.77070000000000005</v>
      </c>
      <c r="L119" s="3087">
        <f t="shared" si="35"/>
        <v>0.77070000000000005</v>
      </c>
      <c r="M119" s="3107">
        <f t="shared" si="35"/>
        <v>0.77070000000000005</v>
      </c>
      <c r="N119" s="3095"/>
    </row>
    <row r="120" spans="1:14">
      <c r="A120" s="3055" t="s">
        <v>3329</v>
      </c>
      <c r="B120" s="3087">
        <f>ROUND(0.9448-0.0115*B116,4)</f>
        <v>0.90229999999999999</v>
      </c>
      <c r="C120" s="3087">
        <f>B120</f>
        <v>0.90229999999999999</v>
      </c>
      <c r="D120" s="3087">
        <f>ROUND(0.937-0.0145*B116,4)</f>
        <v>0.88339999999999996</v>
      </c>
      <c r="E120" s="3087">
        <f t="shared" si="36"/>
        <v>0.88339999999999996</v>
      </c>
      <c r="F120" s="3087">
        <f t="shared" si="36"/>
        <v>0.88339999999999996</v>
      </c>
      <c r="G120" s="3087">
        <f t="shared" si="36"/>
        <v>0.88339999999999996</v>
      </c>
      <c r="H120" s="3087">
        <f t="shared" si="36"/>
        <v>0.88339999999999996</v>
      </c>
      <c r="I120" s="3087">
        <f>ROUND(0.7965-0.0185*B116,4)</f>
        <v>0.72809999999999997</v>
      </c>
      <c r="J120" s="3087">
        <f t="shared" si="35"/>
        <v>0.72809999999999997</v>
      </c>
      <c r="K120" s="3087">
        <f t="shared" si="35"/>
        <v>0.72809999999999997</v>
      </c>
      <c r="L120" s="3087">
        <f t="shared" si="35"/>
        <v>0.72809999999999997</v>
      </c>
      <c r="M120" s="3107">
        <f t="shared" si="35"/>
        <v>0.72809999999999997</v>
      </c>
      <c r="N120" s="3095"/>
    </row>
    <row r="121" spans="1:14" ht="13.8" thickBot="1">
      <c r="A121" s="3108" t="s">
        <v>3330</v>
      </c>
      <c r="B121" s="3109">
        <f>ROUND(0.7836-0.012*B116,4)</f>
        <v>0.73919999999999997</v>
      </c>
      <c r="C121" s="3109">
        <f>B121</f>
        <v>0.73919999999999997</v>
      </c>
      <c r="D121" s="3109">
        <f>ROUND(0.753-0.015*B116,4)</f>
        <v>0.69750000000000001</v>
      </c>
      <c r="E121" s="3109">
        <f>D121</f>
        <v>0.69750000000000001</v>
      </c>
      <c r="F121" s="3109">
        <f>E121</f>
        <v>0.69750000000000001</v>
      </c>
      <c r="G121" s="3109">
        <f>ROUND(0.6612-0.018*B116,4)</f>
        <v>0.59460000000000002</v>
      </c>
      <c r="H121" s="3109">
        <f>G121</f>
        <v>0.59460000000000002</v>
      </c>
      <c r="I121" s="3109">
        <f>ROUND(0.5905-0.019*B116,4)</f>
        <v>0.5202</v>
      </c>
      <c r="J121" s="3109">
        <f t="shared" si="35"/>
        <v>0.5202</v>
      </c>
      <c r="K121" s="3109">
        <f t="shared" si="35"/>
        <v>0.5202</v>
      </c>
      <c r="L121" s="3109">
        <f t="shared" si="35"/>
        <v>0.5202</v>
      </c>
      <c r="M121" s="3110">
        <f t="shared" si="35"/>
        <v>0.5202</v>
      </c>
      <c r="N121" s="3095"/>
    </row>
    <row r="122" spans="1:14">
      <c r="A122" s="3111" t="s">
        <v>2611</v>
      </c>
      <c r="B122" s="3087">
        <f>ROUND(0.9404-0.0106*B116,4)</f>
        <v>0.9012</v>
      </c>
      <c r="C122" s="3087">
        <f>B122</f>
        <v>0.9012</v>
      </c>
      <c r="D122" s="3087">
        <f>ROUND(0.8955-0.0135*B116,4)</f>
        <v>0.84560000000000002</v>
      </c>
      <c r="E122" s="3087">
        <f t="shared" ref="E122:H122" si="37">D122</f>
        <v>0.84560000000000002</v>
      </c>
      <c r="F122" s="3087">
        <f t="shared" si="37"/>
        <v>0.84560000000000002</v>
      </c>
      <c r="G122" s="3087">
        <f t="shared" si="37"/>
        <v>0.84560000000000002</v>
      </c>
      <c r="H122" s="3087">
        <f t="shared" si="37"/>
        <v>0.84560000000000002</v>
      </c>
      <c r="I122" s="3087">
        <f>ROUND(0.7632-0.0166*B116,4)</f>
        <v>0.70179999999999998</v>
      </c>
      <c r="J122" s="3087">
        <f t="shared" si="35"/>
        <v>0.70179999999999998</v>
      </c>
      <c r="K122" s="3087">
        <f t="shared" si="35"/>
        <v>0.70179999999999998</v>
      </c>
      <c r="L122" s="3087">
        <f t="shared" si="35"/>
        <v>0.70179999999999998</v>
      </c>
      <c r="M122" s="3107">
        <f t="shared" si="35"/>
        <v>0.70179999999999998</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494" t="s">
        <v>2606</v>
      </c>
      <c r="B20" s="3487" t="s">
        <v>2627</v>
      </c>
      <c r="C20" s="2840" t="s">
        <v>2438</v>
      </c>
      <c r="D20" s="2841"/>
      <c r="E20" s="2842">
        <v>1</v>
      </c>
      <c r="F20" s="2843" t="s">
        <v>2439</v>
      </c>
      <c r="G20" s="2843"/>
    </row>
    <row r="21" spans="1:13" ht="19.5" customHeight="1">
      <c r="A21" s="3495"/>
      <c r="B21" s="3488"/>
      <c r="C21" s="2844" t="s">
        <v>2440</v>
      </c>
      <c r="D21" s="2845"/>
      <c r="E21" s="2846">
        <v>1</v>
      </c>
      <c r="F21" s="2843" t="s">
        <v>2441</v>
      </c>
      <c r="G21" s="2843"/>
    </row>
    <row r="22" spans="1:13" ht="19.5" customHeight="1">
      <c r="A22" s="3495"/>
      <c r="B22" s="3488"/>
      <c r="C22" s="2844" t="s">
        <v>2442</v>
      </c>
      <c r="D22" s="2845"/>
      <c r="E22" s="2846">
        <v>0.9</v>
      </c>
      <c r="F22" s="2843" t="s">
        <v>2443</v>
      </c>
      <c r="G22" s="2843"/>
    </row>
    <row r="23" spans="1:13" ht="19.5" customHeight="1">
      <c r="A23" s="3495"/>
      <c r="B23" s="3488"/>
      <c r="C23" s="2844" t="s">
        <v>2444</v>
      </c>
      <c r="D23" s="2845"/>
      <c r="E23" s="2846">
        <v>0.9</v>
      </c>
      <c r="F23" s="2843" t="s">
        <v>2445</v>
      </c>
      <c r="G23" s="2843"/>
    </row>
    <row r="24" spans="1:13" ht="19.5" customHeight="1">
      <c r="A24" s="3495"/>
      <c r="B24" s="3488"/>
      <c r="C24" s="2844" t="s">
        <v>2446</v>
      </c>
      <c r="D24" s="2845"/>
      <c r="E24" s="2846">
        <v>0.8</v>
      </c>
      <c r="F24" s="2843" t="s">
        <v>2447</v>
      </c>
      <c r="G24" s="2843"/>
    </row>
    <row r="25" spans="1:13" ht="19.5" customHeight="1" thickBot="1">
      <c r="A25" s="3496"/>
      <c r="B25" s="3489"/>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490" t="s">
        <v>2630</v>
      </c>
      <c r="B27" s="3487" t="s">
        <v>2611</v>
      </c>
      <c r="C27" s="2840" t="s">
        <v>2451</v>
      </c>
      <c r="D27" s="2841"/>
      <c r="E27" s="2842">
        <v>1</v>
      </c>
      <c r="F27" s="2843" t="s">
        <v>2452</v>
      </c>
      <c r="G27" s="2843"/>
    </row>
    <row r="28" spans="1:13" ht="19.5" customHeight="1">
      <c r="A28" s="3491"/>
      <c r="B28" s="3488"/>
      <c r="C28" s="2844" t="s">
        <v>2453</v>
      </c>
      <c r="D28" s="2845"/>
      <c r="E28" s="2846">
        <v>1</v>
      </c>
      <c r="F28" s="2843" t="s">
        <v>2454</v>
      </c>
      <c r="G28" s="2843"/>
    </row>
    <row r="29" spans="1:13" ht="19.5" customHeight="1">
      <c r="A29" s="3491"/>
      <c r="B29" s="3488"/>
      <c r="C29" s="2844" t="s">
        <v>2455</v>
      </c>
      <c r="D29" s="2845"/>
      <c r="E29" s="2846">
        <v>0.8</v>
      </c>
      <c r="F29" s="2843" t="s">
        <v>2456</v>
      </c>
      <c r="G29" s="2843"/>
    </row>
    <row r="30" spans="1:13" ht="19.5" customHeight="1">
      <c r="A30" s="3491"/>
      <c r="B30" s="3488"/>
      <c r="C30" s="2844" t="s">
        <v>2457</v>
      </c>
      <c r="D30" s="2845"/>
      <c r="E30" s="2846">
        <v>0.8</v>
      </c>
      <c r="F30" s="2843" t="s">
        <v>2458</v>
      </c>
      <c r="G30" s="2843"/>
    </row>
    <row r="31" spans="1:13" ht="19.5" customHeight="1">
      <c r="A31" s="3491"/>
      <c r="B31" s="3488"/>
      <c r="C31" s="2844" t="s">
        <v>2459</v>
      </c>
      <c r="D31" s="2845"/>
      <c r="E31" s="2846">
        <v>0.8</v>
      </c>
      <c r="F31" s="2843" t="s">
        <v>2460</v>
      </c>
      <c r="G31" s="2843"/>
    </row>
    <row r="32" spans="1:13" ht="19.5" customHeight="1">
      <c r="A32" s="3491"/>
      <c r="B32" s="3488"/>
      <c r="C32" s="2844" t="s">
        <v>2461</v>
      </c>
      <c r="D32" s="2845"/>
      <c r="E32" s="2846">
        <v>0.7</v>
      </c>
      <c r="F32" s="2843" t="s">
        <v>2462</v>
      </c>
      <c r="G32" s="2843"/>
    </row>
    <row r="33" spans="1:7" ht="19.5" customHeight="1">
      <c r="A33" s="3491"/>
      <c r="B33" s="3488"/>
      <c r="C33" s="2844" t="s">
        <v>2463</v>
      </c>
      <c r="D33" s="2845"/>
      <c r="E33" s="2846">
        <v>0.8</v>
      </c>
      <c r="F33" s="2843" t="s">
        <v>2464</v>
      </c>
      <c r="G33" s="2843"/>
    </row>
    <row r="34" spans="1:7" ht="19.5" customHeight="1">
      <c r="A34" s="3491"/>
      <c r="B34" s="3488"/>
      <c r="C34" s="2844" t="s">
        <v>2465</v>
      </c>
      <c r="D34" s="2845"/>
      <c r="E34" s="2846">
        <v>0.6</v>
      </c>
      <c r="F34" s="2843" t="s">
        <v>2466</v>
      </c>
      <c r="G34" s="2843"/>
    </row>
    <row r="35" spans="1:7" ht="19.5" customHeight="1">
      <c r="A35" s="3491"/>
      <c r="B35" s="3488"/>
      <c r="C35" s="2844" t="s">
        <v>2467</v>
      </c>
      <c r="D35" s="2845"/>
      <c r="E35" s="2846">
        <v>0.2</v>
      </c>
      <c r="F35" s="2843" t="s">
        <v>2468</v>
      </c>
      <c r="G35" s="2843"/>
    </row>
    <row r="36" spans="1:7" ht="19.5" customHeight="1">
      <c r="A36" s="3491"/>
      <c r="B36" s="3488"/>
      <c r="C36" s="2844" t="s">
        <v>2469</v>
      </c>
      <c r="D36" s="2845"/>
      <c r="E36" s="2846">
        <v>0.2</v>
      </c>
      <c r="F36" s="2843" t="s">
        <v>2470</v>
      </c>
      <c r="G36" s="2843"/>
    </row>
    <row r="37" spans="1:7" ht="19.5" customHeight="1">
      <c r="A37" s="3491"/>
      <c r="B37" s="3493" t="s">
        <v>2631</v>
      </c>
      <c r="C37" s="2844" t="s">
        <v>2471</v>
      </c>
      <c r="D37" s="2845"/>
      <c r="E37" s="2846">
        <v>0.6</v>
      </c>
      <c r="F37" s="2843" t="s">
        <v>2472</v>
      </c>
      <c r="G37" s="2843"/>
    </row>
    <row r="38" spans="1:7" ht="19.5" customHeight="1">
      <c r="A38" s="3491"/>
      <c r="B38" s="3488"/>
      <c r="C38" s="2844" t="s">
        <v>2473</v>
      </c>
      <c r="D38" s="2845"/>
      <c r="E38" s="2846">
        <v>0.6</v>
      </c>
      <c r="F38" s="2843" t="s">
        <v>2474</v>
      </c>
      <c r="G38" s="2843"/>
    </row>
    <row r="39" spans="1:7" ht="19.5" customHeight="1" thickBot="1">
      <c r="A39" s="3492"/>
      <c r="B39" s="3489"/>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494" t="s">
        <v>2609</v>
      </c>
      <c r="B41" s="3487" t="s">
        <v>2633</v>
      </c>
      <c r="C41" s="2840" t="s">
        <v>2478</v>
      </c>
      <c r="D41" s="2841"/>
      <c r="E41" s="2842">
        <v>1</v>
      </c>
      <c r="F41" s="2843" t="s">
        <v>2479</v>
      </c>
      <c r="G41" s="2843"/>
    </row>
    <row r="42" spans="1:7" ht="19.5" customHeight="1">
      <c r="A42" s="3495"/>
      <c r="B42" s="3488"/>
      <c r="C42" s="2844" t="s">
        <v>2480</v>
      </c>
      <c r="D42" s="2845"/>
      <c r="E42" s="2846">
        <v>1</v>
      </c>
      <c r="F42" s="2843" t="s">
        <v>2481</v>
      </c>
      <c r="G42" s="2843"/>
    </row>
    <row r="43" spans="1:7" ht="19.5" customHeight="1">
      <c r="A43" s="3495"/>
      <c r="B43" s="3497"/>
      <c r="C43" s="2844" t="s">
        <v>2482</v>
      </c>
      <c r="D43" s="2845"/>
      <c r="E43" s="2846">
        <v>1.5</v>
      </c>
      <c r="F43" s="2843" t="s">
        <v>2483</v>
      </c>
      <c r="G43" s="2843"/>
    </row>
    <row r="44" spans="1:7" ht="19.5" customHeight="1">
      <c r="A44" s="3495"/>
      <c r="B44" s="2855" t="s">
        <v>2634</v>
      </c>
      <c r="C44" s="2844" t="s">
        <v>2635</v>
      </c>
      <c r="D44" s="2845"/>
      <c r="E44" s="2846">
        <v>2</v>
      </c>
      <c r="F44" s="2843" t="s">
        <v>2484</v>
      </c>
      <c r="G44" s="2843"/>
    </row>
    <row r="45" spans="1:7" ht="19.5" customHeight="1">
      <c r="A45" s="3495"/>
      <c r="B45" s="3493" t="s">
        <v>2636</v>
      </c>
      <c r="C45" s="2844" t="s">
        <v>2485</v>
      </c>
      <c r="D45" s="2845"/>
      <c r="E45" s="2846">
        <v>1</v>
      </c>
      <c r="F45" s="2843" t="s">
        <v>2486</v>
      </c>
      <c r="G45" s="2843"/>
    </row>
    <row r="46" spans="1:7" ht="19.5" customHeight="1">
      <c r="A46" s="3495"/>
      <c r="B46" s="3488"/>
      <c r="C46" s="2844" t="s">
        <v>2487</v>
      </c>
      <c r="D46" s="2845"/>
      <c r="E46" s="2846">
        <v>1</v>
      </c>
      <c r="F46" s="2843" t="s">
        <v>2488</v>
      </c>
      <c r="G46" s="2843"/>
    </row>
    <row r="47" spans="1:7" ht="19.5" customHeight="1">
      <c r="A47" s="3495"/>
      <c r="B47" s="3488"/>
      <c r="C47" s="2844" t="s">
        <v>2489</v>
      </c>
      <c r="D47" s="2845"/>
      <c r="E47" s="2846">
        <v>1</v>
      </c>
      <c r="F47" s="2843" t="s">
        <v>2490</v>
      </c>
      <c r="G47" s="2843"/>
    </row>
    <row r="48" spans="1:7" ht="19.5" customHeight="1">
      <c r="A48" s="3495"/>
      <c r="B48" s="3488"/>
      <c r="C48" s="2844" t="s">
        <v>2491</v>
      </c>
      <c r="D48" s="2845"/>
      <c r="E48" s="2846">
        <v>1</v>
      </c>
      <c r="F48" s="2843" t="s">
        <v>2492</v>
      </c>
      <c r="G48" s="2843"/>
    </row>
    <row r="49" spans="1:7" ht="19.5" customHeight="1">
      <c r="A49" s="3495"/>
      <c r="B49" s="3488"/>
      <c r="C49" s="2844" t="s">
        <v>2493</v>
      </c>
      <c r="D49" s="2845"/>
      <c r="E49" s="2846">
        <v>1</v>
      </c>
      <c r="F49" s="2843" t="s">
        <v>2494</v>
      </c>
      <c r="G49" s="2843"/>
    </row>
    <row r="50" spans="1:7" ht="19.5" customHeight="1">
      <c r="A50" s="3495"/>
      <c r="B50" s="3488"/>
      <c r="C50" s="2844" t="s">
        <v>2495</v>
      </c>
      <c r="D50" s="2845"/>
      <c r="E50" s="2846">
        <v>1</v>
      </c>
      <c r="F50" s="2843" t="s">
        <v>2496</v>
      </c>
      <c r="G50" s="2843"/>
    </row>
    <row r="51" spans="1:7" ht="19.5" customHeight="1" thickBot="1">
      <c r="A51" s="3496"/>
      <c r="B51" s="3489"/>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4.4">
      <c r="A72" s="2855"/>
      <c r="B72" s="2855"/>
      <c r="C72" s="2855" t="s">
        <v>2649</v>
      </c>
      <c r="D72" s="2855"/>
      <c r="E72" s="2855" t="s">
        <v>2620</v>
      </c>
      <c r="F72" s="2855" t="s">
        <v>2620</v>
      </c>
    </row>
    <row r="73" spans="1:7" ht="14.4">
      <c r="A73" s="2855">
        <v>1</v>
      </c>
      <c r="B73" s="3493" t="s">
        <v>2650</v>
      </c>
      <c r="C73" s="2829" t="s">
        <v>2651</v>
      </c>
      <c r="D73" s="2829" t="s">
        <v>2652</v>
      </c>
      <c r="E73" s="2855">
        <v>0.2</v>
      </c>
      <c r="F73" s="2855">
        <v>25</v>
      </c>
    </row>
    <row r="74" spans="1:7" ht="24">
      <c r="A74" s="2855">
        <v>2</v>
      </c>
      <c r="B74" s="3488"/>
      <c r="C74" s="2829" t="s">
        <v>2653</v>
      </c>
      <c r="D74" s="2829" t="s">
        <v>2654</v>
      </c>
      <c r="E74" s="2855">
        <v>0.2</v>
      </c>
      <c r="F74" s="2855">
        <v>25</v>
      </c>
    </row>
    <row r="75" spans="1:7" ht="24">
      <c r="A75" s="2855">
        <v>3</v>
      </c>
      <c r="B75" s="3488"/>
      <c r="C75" s="2829" t="s">
        <v>2655</v>
      </c>
      <c r="D75" s="2829" t="s">
        <v>2656</v>
      </c>
      <c r="E75" s="2855">
        <v>0.2</v>
      </c>
      <c r="F75" s="2855">
        <v>25</v>
      </c>
    </row>
    <row r="76" spans="1:7" ht="14.4">
      <c r="A76" s="2855">
        <v>4</v>
      </c>
      <c r="B76" s="3488"/>
      <c r="C76" s="2829" t="s">
        <v>2657</v>
      </c>
      <c r="D76" s="2829" t="s">
        <v>2658</v>
      </c>
      <c r="E76" s="2855">
        <v>0.15</v>
      </c>
      <c r="F76" s="2855">
        <v>20</v>
      </c>
    </row>
    <row r="77" spans="1:7" ht="24">
      <c r="A77" s="2855">
        <v>5</v>
      </c>
      <c r="B77" s="3488"/>
      <c r="C77" s="2829" t="s">
        <v>2659</v>
      </c>
      <c r="D77" s="2829" t="s">
        <v>2660</v>
      </c>
      <c r="E77" s="2855">
        <v>0.15</v>
      </c>
      <c r="F77" s="2855">
        <v>20</v>
      </c>
    </row>
    <row r="78" spans="1:7" ht="24">
      <c r="A78" s="2855">
        <v>6</v>
      </c>
      <c r="B78" s="3488"/>
      <c r="C78" s="2829" t="s">
        <v>2661</v>
      </c>
      <c r="D78" s="2829" t="s">
        <v>2662</v>
      </c>
      <c r="E78" s="2855">
        <v>0.15</v>
      </c>
      <c r="F78" s="2855">
        <v>20</v>
      </c>
    </row>
    <row r="79" spans="1:7" ht="24">
      <c r="A79" s="2855">
        <v>7</v>
      </c>
      <c r="B79" s="3488"/>
      <c r="C79" s="2829" t="s">
        <v>2663</v>
      </c>
      <c r="D79" s="2829" t="s">
        <v>2664</v>
      </c>
      <c r="E79" s="2855">
        <v>0.15</v>
      </c>
      <c r="F79" s="2855">
        <v>20</v>
      </c>
    </row>
    <row r="80" spans="1:7" ht="24">
      <c r="A80" s="2855">
        <v>8</v>
      </c>
      <c r="B80" s="3488"/>
      <c r="C80" s="2829" t="s">
        <v>2665</v>
      </c>
      <c r="D80" s="2829" t="s">
        <v>2666</v>
      </c>
      <c r="E80" s="2855">
        <v>0.1</v>
      </c>
      <c r="F80" s="2855">
        <v>15</v>
      </c>
    </row>
    <row r="81" spans="1:6" ht="24">
      <c r="A81" s="2855">
        <v>9</v>
      </c>
      <c r="B81" s="3488"/>
      <c r="C81" s="2829" t="s">
        <v>2667</v>
      </c>
      <c r="D81" s="2829" t="s">
        <v>2668</v>
      </c>
      <c r="E81" s="2855">
        <v>0.1</v>
      </c>
      <c r="F81" s="2855">
        <v>15</v>
      </c>
    </row>
    <row r="82" spans="1:6" ht="24">
      <c r="A82" s="2855">
        <v>10</v>
      </c>
      <c r="B82" s="3488"/>
      <c r="C82" s="2829" t="s">
        <v>2669</v>
      </c>
      <c r="D82" s="2829" t="s">
        <v>2670</v>
      </c>
      <c r="E82" s="2855">
        <v>0.1</v>
      </c>
      <c r="F82" s="2855">
        <v>15</v>
      </c>
    </row>
    <row r="83" spans="1:6" ht="24">
      <c r="A83" s="2855">
        <v>11</v>
      </c>
      <c r="B83" s="3488"/>
      <c r="C83" s="2829" t="s">
        <v>2671</v>
      </c>
      <c r="D83" s="2829" t="s">
        <v>2672</v>
      </c>
      <c r="E83" s="2855">
        <v>0.1</v>
      </c>
      <c r="F83" s="2855">
        <v>15</v>
      </c>
    </row>
    <row r="84" spans="1:6" ht="24">
      <c r="A84" s="2855">
        <v>12</v>
      </c>
      <c r="B84" s="3488"/>
      <c r="C84" s="2829" t="s">
        <v>2673</v>
      </c>
      <c r="D84" s="2829" t="s">
        <v>2674</v>
      </c>
      <c r="E84" s="2855">
        <v>0.1</v>
      </c>
      <c r="F84" s="2855">
        <v>15</v>
      </c>
    </row>
    <row r="85" spans="1:6" ht="24">
      <c r="A85" s="2855">
        <v>13</v>
      </c>
      <c r="B85" s="3488"/>
      <c r="C85" s="2829" t="s">
        <v>2675</v>
      </c>
      <c r="D85" s="2829" t="s">
        <v>2676</v>
      </c>
      <c r="E85" s="2855">
        <v>0.1</v>
      </c>
      <c r="F85" s="2855">
        <v>15</v>
      </c>
    </row>
    <row r="86" spans="1:6" ht="24">
      <c r="A86" s="2855">
        <v>14</v>
      </c>
      <c r="B86" s="3488"/>
      <c r="C86" s="2829" t="s">
        <v>2677</v>
      </c>
      <c r="D86" s="2829" t="s">
        <v>2678</v>
      </c>
      <c r="E86" s="2855">
        <v>0.1</v>
      </c>
      <c r="F86" s="2855">
        <v>15</v>
      </c>
    </row>
    <row r="87" spans="1:6" ht="24">
      <c r="A87" s="2855">
        <v>15</v>
      </c>
      <c r="B87" s="3488"/>
      <c r="C87" s="2829" t="s">
        <v>2679</v>
      </c>
      <c r="D87" s="2829" t="s">
        <v>2680</v>
      </c>
      <c r="E87" s="2855">
        <v>0.1</v>
      </c>
      <c r="F87" s="2855">
        <v>15</v>
      </c>
    </row>
    <row r="88" spans="1:6" ht="24">
      <c r="A88" s="2855">
        <v>16</v>
      </c>
      <c r="B88" s="3488"/>
      <c r="C88" s="2829" t="s">
        <v>2681</v>
      </c>
      <c r="D88" s="2829" t="s">
        <v>2682</v>
      </c>
      <c r="E88" s="2855">
        <v>0.1</v>
      </c>
      <c r="F88" s="2855">
        <v>15</v>
      </c>
    </row>
    <row r="89" spans="1:6" ht="24">
      <c r="A89" s="2855">
        <v>17</v>
      </c>
      <c r="B89" s="3497"/>
      <c r="C89" s="2829" t="s">
        <v>2683</v>
      </c>
      <c r="D89" s="2829" t="s">
        <v>2684</v>
      </c>
      <c r="E89" s="2855">
        <v>0.1</v>
      </c>
      <c r="F89" s="2855">
        <v>15</v>
      </c>
    </row>
    <row r="90" spans="1:6" ht="14.4">
      <c r="A90" s="2855">
        <v>18</v>
      </c>
      <c r="B90" s="3493" t="s">
        <v>2685</v>
      </c>
      <c r="C90" s="2829" t="s">
        <v>2686</v>
      </c>
      <c r="D90" s="2829" t="s">
        <v>2687</v>
      </c>
      <c r="E90" s="2855">
        <v>0.2</v>
      </c>
      <c r="F90" s="2855">
        <v>25</v>
      </c>
    </row>
    <row r="91" spans="1:6" ht="24">
      <c r="A91" s="2855">
        <v>19</v>
      </c>
      <c r="B91" s="3488"/>
      <c r="C91" s="2829" t="s">
        <v>2688</v>
      </c>
      <c r="D91" s="2829" t="s">
        <v>2689</v>
      </c>
      <c r="E91" s="2855">
        <v>0.2</v>
      </c>
      <c r="F91" s="2855">
        <v>25</v>
      </c>
    </row>
    <row r="92" spans="1:6" ht="14.4">
      <c r="A92" s="2855">
        <v>20</v>
      </c>
      <c r="B92" s="3488"/>
      <c r="C92" s="2829" t="s">
        <v>2690</v>
      </c>
      <c r="D92" s="2829" t="s">
        <v>2691</v>
      </c>
      <c r="E92" s="2855">
        <v>0.15</v>
      </c>
      <c r="F92" s="2855">
        <v>20</v>
      </c>
    </row>
    <row r="93" spans="1:6" ht="24">
      <c r="A93" s="2855">
        <v>21</v>
      </c>
      <c r="B93" s="3488"/>
      <c r="C93" s="2829" t="s">
        <v>2692</v>
      </c>
      <c r="D93" s="2829" t="s">
        <v>2693</v>
      </c>
      <c r="E93" s="2855">
        <v>0.15</v>
      </c>
      <c r="F93" s="2855">
        <v>20</v>
      </c>
    </row>
    <row r="94" spans="1:6" ht="24">
      <c r="A94" s="2855">
        <v>22</v>
      </c>
      <c r="B94" s="3488"/>
      <c r="C94" s="2829" t="s">
        <v>2694</v>
      </c>
      <c r="D94" s="2829" t="s">
        <v>2695</v>
      </c>
      <c r="E94" s="2855">
        <v>0.15</v>
      </c>
      <c r="F94" s="2855">
        <v>20</v>
      </c>
    </row>
    <row r="95" spans="1:6" ht="36">
      <c r="A95" s="2855">
        <v>23</v>
      </c>
      <c r="B95" s="3488"/>
      <c r="C95" s="2829" t="s">
        <v>2696</v>
      </c>
      <c r="D95" s="2829" t="s">
        <v>2697</v>
      </c>
      <c r="E95" s="2855">
        <v>0.15</v>
      </c>
      <c r="F95" s="2855">
        <v>20</v>
      </c>
    </row>
    <row r="96" spans="1:6" ht="24">
      <c r="A96" s="2855">
        <v>24</v>
      </c>
      <c r="B96" s="3488"/>
      <c r="C96" s="2829" t="s">
        <v>2698</v>
      </c>
      <c r="D96" s="2829" t="s">
        <v>2699</v>
      </c>
      <c r="E96" s="2855">
        <v>0.1</v>
      </c>
      <c r="F96" s="2855">
        <v>15</v>
      </c>
    </row>
    <row r="97" spans="1:6" ht="24">
      <c r="A97" s="2855">
        <v>25</v>
      </c>
      <c r="B97" s="3488"/>
      <c r="C97" s="2829" t="s">
        <v>2700</v>
      </c>
      <c r="D97" s="2829" t="s">
        <v>2701</v>
      </c>
      <c r="E97" s="2855">
        <v>0.1</v>
      </c>
      <c r="F97" s="2855">
        <v>15</v>
      </c>
    </row>
    <row r="98" spans="1:6" ht="24">
      <c r="A98" s="2855">
        <v>26</v>
      </c>
      <c r="B98" s="3488"/>
      <c r="C98" s="2829" t="s">
        <v>2702</v>
      </c>
      <c r="D98" s="2829" t="s">
        <v>2703</v>
      </c>
      <c r="E98" s="2855">
        <v>0.1</v>
      </c>
      <c r="F98" s="2855">
        <v>15</v>
      </c>
    </row>
    <row r="99" spans="1:6" ht="24">
      <c r="A99" s="2855">
        <v>27</v>
      </c>
      <c r="B99" s="3488"/>
      <c r="C99" s="2829" t="s">
        <v>2704</v>
      </c>
      <c r="D99" s="2829" t="s">
        <v>2705</v>
      </c>
      <c r="E99" s="2855">
        <v>0.1</v>
      </c>
      <c r="F99" s="2855">
        <v>15</v>
      </c>
    </row>
    <row r="100" spans="1:6" ht="24">
      <c r="A100" s="2855">
        <v>28</v>
      </c>
      <c r="B100" s="3488"/>
      <c r="C100" s="2829" t="s">
        <v>2706</v>
      </c>
      <c r="D100" s="2829" t="s">
        <v>2707</v>
      </c>
      <c r="E100" s="2855">
        <v>0.1</v>
      </c>
      <c r="F100" s="2855">
        <v>15</v>
      </c>
    </row>
    <row r="101" spans="1:6" ht="24">
      <c r="A101" s="2855">
        <v>29</v>
      </c>
      <c r="B101" s="3488"/>
      <c r="C101" s="2829" t="s">
        <v>2708</v>
      </c>
      <c r="D101" s="2829" t="s">
        <v>2709</v>
      </c>
      <c r="E101" s="2855">
        <v>0.1</v>
      </c>
      <c r="F101" s="2855">
        <v>15</v>
      </c>
    </row>
    <row r="102" spans="1:6" ht="24">
      <c r="A102" s="2855">
        <v>30</v>
      </c>
      <c r="B102" s="3488"/>
      <c r="C102" s="2829" t="s">
        <v>2710</v>
      </c>
      <c r="D102" s="2829" t="s">
        <v>2711</v>
      </c>
      <c r="E102" s="2855">
        <v>0.1</v>
      </c>
      <c r="F102" s="2855">
        <v>15</v>
      </c>
    </row>
    <row r="103" spans="1:6" ht="24">
      <c r="A103" s="2855">
        <v>31</v>
      </c>
      <c r="B103" s="3488"/>
      <c r="C103" s="2829" t="s">
        <v>2712</v>
      </c>
      <c r="D103" s="2829" t="s">
        <v>2713</v>
      </c>
      <c r="E103" s="2855">
        <v>0.1</v>
      </c>
      <c r="F103" s="2855">
        <v>15</v>
      </c>
    </row>
    <row r="104" spans="1:6" ht="24">
      <c r="A104" s="2855">
        <v>32</v>
      </c>
      <c r="B104" s="3488"/>
      <c r="C104" s="2829" t="s">
        <v>2714</v>
      </c>
      <c r="D104" s="2829" t="s">
        <v>2715</v>
      </c>
      <c r="E104" s="2855">
        <v>0.1</v>
      </c>
      <c r="F104" s="2855">
        <v>15</v>
      </c>
    </row>
    <row r="105" spans="1:6" ht="24">
      <c r="A105" s="2855">
        <v>33</v>
      </c>
      <c r="B105" s="3488"/>
      <c r="C105" s="2829" t="s">
        <v>2716</v>
      </c>
      <c r="D105" s="2829" t="s">
        <v>2717</v>
      </c>
      <c r="E105" s="2855">
        <v>0.1</v>
      </c>
      <c r="F105" s="2855">
        <v>15</v>
      </c>
    </row>
    <row r="106" spans="1:6" ht="24">
      <c r="A106" s="2855">
        <v>34</v>
      </c>
      <c r="B106" s="3497"/>
      <c r="C106" s="2829" t="s">
        <v>2718</v>
      </c>
      <c r="D106" s="2829" t="s">
        <v>2719</v>
      </c>
      <c r="E106" s="2855">
        <v>0.1</v>
      </c>
      <c r="F106" s="2855">
        <v>15</v>
      </c>
    </row>
    <row r="107" spans="1:6" ht="36">
      <c r="A107" s="2855">
        <v>35</v>
      </c>
      <c r="B107" s="3493" t="s">
        <v>2720</v>
      </c>
      <c r="C107" s="2855" t="s">
        <v>2721</v>
      </c>
      <c r="D107" s="2829" t="s">
        <v>2722</v>
      </c>
      <c r="E107" s="2855">
        <v>0.15</v>
      </c>
      <c r="F107" s="2855">
        <v>20</v>
      </c>
    </row>
    <row r="108" spans="1:6" ht="24">
      <c r="A108" s="2855">
        <v>36</v>
      </c>
      <c r="B108" s="3488"/>
      <c r="C108" s="2855" t="s">
        <v>2723</v>
      </c>
      <c r="D108" s="2829" t="s">
        <v>2724</v>
      </c>
      <c r="E108" s="2855">
        <v>0.15</v>
      </c>
      <c r="F108" s="2855">
        <v>20</v>
      </c>
    </row>
    <row r="109" spans="1:6" ht="24">
      <c r="A109" s="2855">
        <v>37</v>
      </c>
      <c r="B109" s="3488"/>
      <c r="C109" s="2855" t="s">
        <v>2725</v>
      </c>
      <c r="D109" s="2829" t="s">
        <v>2726</v>
      </c>
      <c r="E109" s="2855">
        <v>0.15</v>
      </c>
      <c r="F109" s="2855">
        <v>20</v>
      </c>
    </row>
    <row r="110" spans="1:6" ht="24">
      <c r="A110" s="2855">
        <v>38</v>
      </c>
      <c r="B110" s="3488"/>
      <c r="C110" s="2855" t="s">
        <v>2727</v>
      </c>
      <c r="D110" s="2829" t="s">
        <v>2728</v>
      </c>
      <c r="E110" s="2855">
        <v>0.1</v>
      </c>
      <c r="F110" s="2855">
        <v>15</v>
      </c>
    </row>
    <row r="111" spans="1:6" ht="24">
      <c r="A111" s="2855">
        <v>39</v>
      </c>
      <c r="B111" s="3488"/>
      <c r="C111" s="2855" t="s">
        <v>2729</v>
      </c>
      <c r="D111" s="2829" t="s">
        <v>2730</v>
      </c>
      <c r="E111" s="2855">
        <v>0.1</v>
      </c>
      <c r="F111" s="2855">
        <v>15</v>
      </c>
    </row>
    <row r="112" spans="1:6" ht="24">
      <c r="A112" s="2855">
        <v>40</v>
      </c>
      <c r="B112" s="3497"/>
      <c r="C112" s="2855" t="s">
        <v>2731</v>
      </c>
      <c r="D112" s="2829" t="s">
        <v>2732</v>
      </c>
      <c r="E112" s="2855">
        <v>0.1</v>
      </c>
      <c r="F112" s="2855">
        <v>15</v>
      </c>
    </row>
    <row r="113" spans="1:6" ht="24">
      <c r="A113" s="2855">
        <v>41</v>
      </c>
      <c r="B113" s="3498" t="s">
        <v>2733</v>
      </c>
      <c r="C113" s="2855" t="s">
        <v>2734</v>
      </c>
      <c r="D113" s="2829" t="s">
        <v>2735</v>
      </c>
      <c r="E113" s="2855">
        <v>0.1</v>
      </c>
      <c r="F113" s="2855">
        <v>15</v>
      </c>
    </row>
    <row r="114" spans="1:6" ht="24">
      <c r="A114" s="2855">
        <v>42</v>
      </c>
      <c r="B114" s="3498"/>
      <c r="C114" s="2855" t="s">
        <v>2736</v>
      </c>
      <c r="D114" s="2829" t="s">
        <v>2737</v>
      </c>
      <c r="E114" s="2855">
        <v>0.1</v>
      </c>
      <c r="F114" s="2855">
        <v>15</v>
      </c>
    </row>
    <row r="115" spans="1:6" ht="24">
      <c r="A115" s="2855">
        <v>43</v>
      </c>
      <c r="B115" s="3498"/>
      <c r="C115" s="2855" t="s">
        <v>2738</v>
      </c>
      <c r="D115" s="2829" t="s">
        <v>2739</v>
      </c>
      <c r="E115" s="2855">
        <v>0.1</v>
      </c>
      <c r="F115" s="2855">
        <v>15</v>
      </c>
    </row>
    <row r="116" spans="1:6" ht="24">
      <c r="A116" s="2855">
        <v>44</v>
      </c>
      <c r="B116" s="3493" t="s">
        <v>2740</v>
      </c>
      <c r="C116" s="2855" t="s">
        <v>2741</v>
      </c>
      <c r="D116" s="2829" t="s">
        <v>2742</v>
      </c>
      <c r="E116" s="2855">
        <v>0.1</v>
      </c>
      <c r="F116" s="2855">
        <v>15</v>
      </c>
    </row>
    <row r="117" spans="1:6" ht="24">
      <c r="A117" s="2855">
        <v>45</v>
      </c>
      <c r="B117" s="3497"/>
      <c r="C117" s="2829" t="s">
        <v>2743</v>
      </c>
      <c r="D117" s="2829" t="s">
        <v>2744</v>
      </c>
      <c r="E117" s="2855">
        <v>0.1</v>
      </c>
      <c r="F117" s="2855">
        <v>15</v>
      </c>
    </row>
    <row r="118" spans="1:6" ht="24">
      <c r="A118" s="2855">
        <v>46</v>
      </c>
      <c r="B118" s="3493" t="s">
        <v>2745</v>
      </c>
      <c r="C118" s="2855" t="s">
        <v>2746</v>
      </c>
      <c r="D118" s="2829" t="s">
        <v>2747</v>
      </c>
      <c r="E118" s="2855">
        <v>0.1</v>
      </c>
      <c r="F118" s="2855">
        <v>15</v>
      </c>
    </row>
    <row r="119" spans="1:6" ht="24">
      <c r="A119" s="2855">
        <v>47</v>
      </c>
      <c r="B119" s="3497"/>
      <c r="C119" s="2855" t="s">
        <v>2748</v>
      </c>
      <c r="D119" s="2829" t="s">
        <v>2749</v>
      </c>
      <c r="E119" s="2855">
        <v>0.1</v>
      </c>
      <c r="F119" s="2855">
        <v>15</v>
      </c>
    </row>
    <row r="120" spans="1:6" ht="24">
      <c r="A120" s="2855">
        <v>48</v>
      </c>
      <c r="B120" s="3493" t="s">
        <v>2750</v>
      </c>
      <c r="C120" s="2855" t="s">
        <v>2751</v>
      </c>
      <c r="D120" s="2829" t="s">
        <v>2752</v>
      </c>
      <c r="E120" s="2855">
        <v>0.1</v>
      </c>
      <c r="F120" s="2855">
        <v>15</v>
      </c>
    </row>
    <row r="121" spans="1:6" ht="24">
      <c r="A121" s="2855">
        <v>49</v>
      </c>
      <c r="B121" s="3497"/>
      <c r="C121" s="2855" t="s">
        <v>2753</v>
      </c>
      <c r="D121" s="2829" t="s">
        <v>2754</v>
      </c>
      <c r="E121" s="2855">
        <v>0.1</v>
      </c>
      <c r="F121" s="2855">
        <v>15</v>
      </c>
    </row>
    <row r="122" spans="1:6" ht="24">
      <c r="A122" s="2855">
        <v>50</v>
      </c>
      <c r="B122" s="3498" t="s">
        <v>2755</v>
      </c>
      <c r="C122" s="2855" t="s">
        <v>2756</v>
      </c>
      <c r="D122" s="2829" t="s">
        <v>2757</v>
      </c>
      <c r="E122" s="2855">
        <v>0.1</v>
      </c>
      <c r="F122" s="2855">
        <v>15</v>
      </c>
    </row>
    <row r="123" spans="1:6" ht="24">
      <c r="A123" s="2855">
        <v>51</v>
      </c>
      <c r="B123" s="3498"/>
      <c r="C123" s="2855" t="s">
        <v>2758</v>
      </c>
      <c r="D123" s="2829" t="s">
        <v>2759</v>
      </c>
      <c r="E123" s="2855">
        <v>0.1</v>
      </c>
      <c r="F123" s="2855">
        <v>15</v>
      </c>
    </row>
    <row r="124" spans="1:6" ht="24">
      <c r="A124" s="2855">
        <v>52</v>
      </c>
      <c r="B124" s="3498" t="s">
        <v>2760</v>
      </c>
      <c r="C124" s="2855" t="s">
        <v>2761</v>
      </c>
      <c r="D124" s="2829" t="s">
        <v>2762</v>
      </c>
      <c r="E124" s="2855">
        <v>0.1</v>
      </c>
      <c r="F124" s="2855">
        <v>15</v>
      </c>
    </row>
    <row r="125" spans="1:6" ht="24">
      <c r="A125" s="2855">
        <v>53</v>
      </c>
      <c r="B125" s="3498"/>
      <c r="C125" s="2855" t="s">
        <v>2763</v>
      </c>
      <c r="D125" s="2829" t="s">
        <v>2764</v>
      </c>
      <c r="E125" s="2855">
        <v>0.1</v>
      </c>
      <c r="F125" s="2855">
        <v>15</v>
      </c>
    </row>
    <row r="126" spans="1:6" ht="24">
      <c r="A126" s="2855">
        <v>54</v>
      </c>
      <c r="B126" s="2855" t="s">
        <v>2765</v>
      </c>
      <c r="C126" s="2855" t="s">
        <v>2766</v>
      </c>
      <c r="D126" s="2829" t="s">
        <v>2767</v>
      </c>
      <c r="E126" s="2855">
        <v>0.1</v>
      </c>
      <c r="F126" s="2855">
        <v>15</v>
      </c>
    </row>
    <row r="127" spans="1:6" ht="24">
      <c r="A127" s="2855">
        <v>55</v>
      </c>
      <c r="B127" s="3498" t="s">
        <v>2768</v>
      </c>
      <c r="C127" s="2855" t="s">
        <v>2769</v>
      </c>
      <c r="D127" s="2829" t="s">
        <v>2770</v>
      </c>
      <c r="E127" s="2855">
        <v>0.1</v>
      </c>
      <c r="F127" s="2855">
        <v>15</v>
      </c>
    </row>
    <row r="128" spans="1:6" ht="24">
      <c r="A128" s="2855">
        <v>56</v>
      </c>
      <c r="B128" s="3498"/>
      <c r="C128" s="2855" t="s">
        <v>2771</v>
      </c>
      <c r="D128" s="2829" t="s">
        <v>2772</v>
      </c>
      <c r="E128" s="2855">
        <v>0.1</v>
      </c>
      <c r="F128" s="2855">
        <v>15</v>
      </c>
    </row>
    <row r="129" spans="1:6" ht="24">
      <c r="A129" s="2855">
        <v>57</v>
      </c>
      <c r="B129" s="3498"/>
      <c r="C129" s="2855" t="s">
        <v>2773</v>
      </c>
      <c r="D129" s="2829" t="s">
        <v>2774</v>
      </c>
      <c r="E129" s="2855">
        <v>0.1</v>
      </c>
      <c r="F129" s="2855">
        <v>15</v>
      </c>
    </row>
    <row r="130" spans="1:6" ht="24">
      <c r="A130" s="2855">
        <v>58</v>
      </c>
      <c r="B130" s="3498" t="s">
        <v>2775</v>
      </c>
      <c r="C130" s="2855" t="s">
        <v>2776</v>
      </c>
      <c r="D130" s="2829" t="s">
        <v>2777</v>
      </c>
      <c r="E130" s="2855">
        <v>0.1</v>
      </c>
      <c r="F130" s="2855">
        <v>15</v>
      </c>
    </row>
    <row r="131" spans="1:6" ht="24">
      <c r="A131" s="2855">
        <v>59</v>
      </c>
      <c r="B131" s="3498"/>
      <c r="C131" s="2855" t="s">
        <v>2778</v>
      </c>
      <c r="D131" s="2829" t="s">
        <v>2779</v>
      </c>
      <c r="E131" s="2855">
        <v>0.1</v>
      </c>
      <c r="F131" s="2855">
        <v>15</v>
      </c>
    </row>
    <row r="132" spans="1:6" ht="24">
      <c r="A132" s="2855">
        <v>60</v>
      </c>
      <c r="B132" s="3493" t="s">
        <v>2780</v>
      </c>
      <c r="C132" s="2855" t="s">
        <v>2781</v>
      </c>
      <c r="D132" s="2829" t="s">
        <v>2782</v>
      </c>
      <c r="E132" s="2855">
        <v>0.1</v>
      </c>
      <c r="F132" s="2855">
        <v>15</v>
      </c>
    </row>
    <row r="133" spans="1:6" ht="24">
      <c r="A133" s="2855">
        <v>61</v>
      </c>
      <c r="B133" s="3497"/>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24">
      <c r="A135" s="2855">
        <v>63</v>
      </c>
      <c r="B135" s="3498" t="s">
        <v>2788</v>
      </c>
      <c r="C135" s="2855" t="s">
        <v>2789</v>
      </c>
      <c r="D135" s="2829" t="s">
        <v>2790</v>
      </c>
      <c r="E135" s="2855">
        <v>0.1</v>
      </c>
      <c r="F135" s="2855">
        <v>15</v>
      </c>
    </row>
    <row r="136" spans="1:6" ht="24">
      <c r="A136" s="2855">
        <v>64</v>
      </c>
      <c r="B136" s="3498"/>
      <c r="C136" s="2855" t="s">
        <v>2791</v>
      </c>
      <c r="D136" s="2829" t="s">
        <v>2792</v>
      </c>
      <c r="E136" s="2855">
        <v>0.1</v>
      </c>
      <c r="F136" s="2855">
        <v>15</v>
      </c>
    </row>
    <row r="137" spans="1:6" ht="24">
      <c r="A137" s="2855">
        <v>65</v>
      </c>
      <c r="B137" s="2855" t="s">
        <v>2793</v>
      </c>
      <c r="C137" s="2855" t="s">
        <v>2794</v>
      </c>
      <c r="D137" s="2829" t="s">
        <v>2795</v>
      </c>
      <c r="E137" s="2855">
        <v>0.1</v>
      </c>
      <c r="F137" s="2855">
        <v>15</v>
      </c>
    </row>
    <row r="138" spans="1:6" ht="14.4">
      <c r="A138" s="2855"/>
      <c r="B138" s="2855"/>
      <c r="C138" s="2855"/>
      <c r="D138" s="2855"/>
      <c r="E138" s="2855" t="s">
        <v>2796</v>
      </c>
      <c r="F138" s="285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0.92879999999999996</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0.88349999999999995</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27706</v>
      </c>
      <c r="C2" s="2" t="s">
        <v>106</v>
      </c>
      <c r="D2" s="191"/>
      <c r="E2" s="191"/>
      <c r="F2" s="191"/>
      <c r="G2" s="191"/>
    </row>
    <row r="3" spans="1:7" s="192" customFormat="1" ht="18" customHeight="1" thickBot="1">
      <c r="A3" s="195" t="s">
        <v>58</v>
      </c>
      <c r="B3" s="196">
        <f ca="1">ROUND(B2*10000/'数据-汇总表'!E3,0)</f>
        <v>1543510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v>
      </c>
      <c r="D10" s="795">
        <f>'数据-汇总表'!E6</f>
        <v>179.5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179.5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90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0.04</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179.5</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14</v>
      </c>
      <c r="D45" s="227">
        <f>C47</f>
        <v>3.0000000000000001E-3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118</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90</v>
      </c>
      <c r="D51" s="224"/>
      <c r="E51" s="224"/>
      <c r="F51" s="256"/>
      <c r="G51" s="226" t="s">
        <v>37</v>
      </c>
    </row>
    <row r="52" spans="1:7" s="200" customFormat="1" ht="16.8" thickBot="1">
      <c r="A52" s="257" t="s">
        <v>38</v>
      </c>
      <c r="B52" s="258"/>
      <c r="C52" s="259">
        <f ca="1">C31+C51</f>
        <v>27706</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1" t="s">
        <v>2838</v>
      </c>
      <c r="B1" s="3501"/>
      <c r="C1" s="3501"/>
      <c r="D1" s="3501"/>
      <c r="E1" s="3501"/>
      <c r="F1" s="3501"/>
      <c r="G1" s="3502"/>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1.4"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499"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1.4" thickBot="1">
      <c r="A4" s="3500"/>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1.4"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1.4"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1.4"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1.4"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85"/>
      <c r="B3" s="3185"/>
      <c r="C3" s="3185"/>
      <c r="D3" s="801" t="s">
        <v>925</v>
      </c>
      <c r="E3" s="801" t="s">
        <v>931</v>
      </c>
      <c r="F3" s="801" t="s">
        <v>925</v>
      </c>
      <c r="G3" s="801" t="s">
        <v>926</v>
      </c>
      <c r="H3" s="801" t="s">
        <v>925</v>
      </c>
      <c r="I3" s="801" t="s">
        <v>926</v>
      </c>
    </row>
    <row r="4" spans="1:9" ht="30">
      <c r="A4" s="1402" t="str">
        <f>项目基本情况!S2</f>
        <v>北京市朝阳区东三环南路98号1幢房地产</v>
      </c>
      <c r="B4" s="801">
        <f>项目基本情况!C17</f>
        <v>179.5</v>
      </c>
      <c r="C4" s="801">
        <f>项目基本情况!C18</f>
        <v>0</v>
      </c>
      <c r="D4" s="801">
        <f>结果表!D118</f>
        <v>0</v>
      </c>
      <c r="E4" s="801">
        <f>结果表!E118</f>
        <v>0</v>
      </c>
      <c r="F4" s="801">
        <f>结果表!F118</f>
        <v>0</v>
      </c>
      <c r="G4" s="801">
        <f>结果表!G118</f>
        <v>0</v>
      </c>
      <c r="H4" s="801">
        <f ca="1">结果表!H118</f>
        <v>508</v>
      </c>
      <c r="I4" s="801">
        <f ca="1">结果表!I118</f>
        <v>28279</v>
      </c>
    </row>
    <row r="5" spans="1:9" ht="30" customHeight="1">
      <c r="A5" s="3185" t="s">
        <v>927</v>
      </c>
      <c r="B5" s="3185"/>
      <c r="C5" s="3185"/>
      <c r="D5" s="3185" t="str">
        <f>结果表!D119</f>
        <v>零元整</v>
      </c>
      <c r="E5" s="3185"/>
      <c r="F5" s="3185" t="str">
        <f>结果表!F119</f>
        <v>零元整</v>
      </c>
      <c r="G5" s="3185"/>
      <c r="H5" s="3185" t="str">
        <f ca="1">结果表!H119</f>
        <v>伍佰零捌万元整</v>
      </c>
      <c r="I5" s="3185"/>
    </row>
    <row r="6" spans="1:9" ht="15.6">
      <c r="A6" s="3186" t="str">
        <f>结果表!A120</f>
        <v>估价师知悉的法定优先受偿款</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6">
      <c r="A8" s="3186" t="str">
        <f>结果表!A122</f>
        <v>房地产抵押价值</v>
      </c>
      <c r="B8" s="3186"/>
      <c r="C8" s="3186"/>
      <c r="D8" s="3186">
        <f ca="1">结果表!D122</f>
        <v>508</v>
      </c>
      <c r="E8" s="3186"/>
      <c r="F8" s="3186"/>
      <c r="G8" s="3186"/>
      <c r="H8" s="3186"/>
      <c r="I8" s="3186"/>
    </row>
    <row r="9" spans="1:9" ht="15">
      <c r="A9" s="3185" t="s">
        <v>927</v>
      </c>
      <c r="B9" s="3185"/>
      <c r="C9" s="3185"/>
      <c r="D9" s="3185" t="str">
        <f ca="1">结果表!D123</f>
        <v>伍佰零捌万元整</v>
      </c>
      <c r="E9" s="3185"/>
      <c r="F9" s="3185"/>
      <c r="G9" s="3185"/>
      <c r="H9" s="3185"/>
      <c r="I9" s="3185"/>
    </row>
    <row r="10" spans="1:9" ht="15.6">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6">
      <c r="A12" s="3186" t="str">
        <f>结果表!A126</f>
        <v>抵押净值</v>
      </c>
      <c r="B12" s="3186"/>
      <c r="C12" s="3186"/>
      <c r="D12" s="3186">
        <f ca="1">结果表!D126</f>
        <v>2619</v>
      </c>
      <c r="E12" s="3186"/>
      <c r="F12" s="3186"/>
      <c r="G12" s="3186"/>
      <c r="H12" s="3186"/>
      <c r="I12" s="3186"/>
    </row>
    <row r="13" spans="1:9" ht="15.6" thickBot="1">
      <c r="A13" s="3190" t="s">
        <v>927</v>
      </c>
      <c r="B13" s="3190"/>
      <c r="C13" s="3190"/>
      <c r="D13" s="3190" t="str">
        <f ca="1">结果表!D127</f>
        <v>贰仟陆佰壹拾玖万元整</v>
      </c>
      <c r="E13" s="3190"/>
      <c r="F13" s="3190"/>
      <c r="G13" s="3190"/>
      <c r="H13" s="3190"/>
      <c r="I13" s="3190"/>
    </row>
    <row r="14" spans="1:9" ht="14.4" thickTop="1">
      <c r="A14" s="3191" t="s">
        <v>932</v>
      </c>
      <c r="B14" s="3191"/>
      <c r="C14" s="3191"/>
      <c r="D14" s="3191"/>
      <c r="E14" s="3191"/>
      <c r="F14" s="3191"/>
      <c r="G14" s="3191"/>
      <c r="H14" s="3191"/>
      <c r="I14" s="3191"/>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3" t="s">
        <v>3180</v>
      </c>
      <c r="B1" s="3503"/>
    </row>
    <row r="2" spans="1:7" ht="15" thickBot="1">
      <c r="A2" s="2966"/>
      <c r="B2" s="2966"/>
    </row>
    <row r="3" spans="1:7" ht="15" thickBot="1">
      <c r="A3" s="2966"/>
      <c r="B3" s="2966"/>
      <c r="C3" s="2967" t="s">
        <v>2810</v>
      </c>
      <c r="D3" s="2967" t="s">
        <v>2866</v>
      </c>
      <c r="E3" s="2967" t="s">
        <v>2812</v>
      </c>
      <c r="F3" s="2967" t="s">
        <v>2867</v>
      </c>
      <c r="G3" s="2967" t="s">
        <v>2630</v>
      </c>
    </row>
    <row r="4" spans="1:7" ht="1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2811"/>
  </cols>
  <sheetData>
    <row r="1" spans="1:6">
      <c r="A1" s="3504" t="s">
        <v>3231</v>
      </c>
      <c r="B1" s="3504"/>
      <c r="C1" s="3504"/>
      <c r="D1" s="3504"/>
      <c r="E1" s="3504"/>
      <c r="F1" s="3505"/>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45649</v>
      </c>
      <c r="B1" s="2927" t="s">
        <v>3381</v>
      </c>
      <c r="C1" s="2928"/>
      <c r="D1" s="2928"/>
      <c r="E1" s="2928"/>
      <c r="F1" s="2928"/>
      <c r="G1" s="2928"/>
      <c r="H1" s="2928"/>
      <c r="I1" s="2928"/>
      <c r="J1" s="2894"/>
      <c r="K1" s="2928" t="s">
        <v>454</v>
      </c>
      <c r="L1" s="2928"/>
      <c r="M1" s="2928"/>
      <c r="N1" s="2928"/>
      <c r="O1" s="2928"/>
      <c r="P1" s="2928"/>
      <c r="Q1" s="2894"/>
      <c r="R1" s="3506" t="s">
        <v>456</v>
      </c>
      <c r="S1" s="3507"/>
      <c r="T1" s="3507"/>
      <c r="U1" s="3507"/>
      <c r="V1" s="3507"/>
      <c r="W1" s="3507"/>
      <c r="X1" s="2894"/>
      <c r="Y1" s="3506" t="s">
        <v>457</v>
      </c>
      <c r="Z1" s="3507"/>
      <c r="AA1" s="3507"/>
      <c r="AB1" s="3507"/>
      <c r="AC1" s="3507"/>
      <c r="AD1" s="3507"/>
    </row>
    <row r="2" spans="1:30" s="2009" customFormat="1" ht="15" thickBot="1">
      <c r="B2" s="2879"/>
      <c r="C2" s="2880"/>
      <c r="D2" s="2010" t="s">
        <v>2809</v>
      </c>
      <c r="E2" s="2011" t="s">
        <v>2810</v>
      </c>
      <c r="F2" s="2011" t="s">
        <v>2811</v>
      </c>
      <c r="G2" s="2011" t="s">
        <v>2812</v>
      </c>
      <c r="H2" s="2011" t="s">
        <v>2813</v>
      </c>
      <c r="I2" s="2011" t="s">
        <v>2630</v>
      </c>
      <c r="J2" s="2881"/>
      <c r="K2" s="2010" t="s">
        <v>2809</v>
      </c>
      <c r="L2" s="2011" t="s">
        <v>2810</v>
      </c>
      <c r="M2" s="2011" t="s">
        <v>2811</v>
      </c>
      <c r="N2" s="2011" t="s">
        <v>2812</v>
      </c>
      <c r="O2" s="2011" t="s">
        <v>2814</v>
      </c>
      <c r="P2" s="2011" t="s">
        <v>2630</v>
      </c>
      <c r="Q2" s="2881"/>
      <c r="R2" s="2010" t="s">
        <v>2809</v>
      </c>
      <c r="S2" s="2011" t="s">
        <v>2810</v>
      </c>
      <c r="T2" s="2011" t="s">
        <v>2811</v>
      </c>
      <c r="U2" s="2011" t="s">
        <v>2815</v>
      </c>
      <c r="V2" s="2011" t="s">
        <v>2816</v>
      </c>
      <c r="W2" s="2011" t="s">
        <v>2630</v>
      </c>
      <c r="X2" s="2881"/>
      <c r="Y2" s="2010" t="s">
        <v>2809</v>
      </c>
      <c r="Z2" s="2011" t="s">
        <v>2810</v>
      </c>
      <c r="AA2" s="2011" t="s">
        <v>2811</v>
      </c>
      <c r="AB2" s="2011" t="s">
        <v>2817</v>
      </c>
      <c r="AC2" s="2011" t="s">
        <v>2816</v>
      </c>
      <c r="AD2" s="2011" t="s">
        <v>2630</v>
      </c>
    </row>
    <row r="3" spans="1:30" s="2884" customFormat="1" ht="13.2">
      <c r="A3" s="2882" t="s">
        <v>2818</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3377</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3386</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3.2">
      <c r="A7" s="2039" t="s">
        <v>3385</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3378</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3374</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3370</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3369</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3367</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3366</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3365</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3363</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3354</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2819</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2820</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2821</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2822</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2823</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3384</v>
      </c>
    </row>
    <row r="24" spans="1:30">
      <c r="I24" s="1404" t="s">
        <v>2824</v>
      </c>
    </row>
    <row r="26" spans="1:30" s="2008" customFormat="1" ht="13.2">
      <c r="B26" s="2927" t="s">
        <v>3382</v>
      </c>
      <c r="C26" s="2928"/>
      <c r="D26" s="2928"/>
      <c r="E26" s="2928"/>
      <c r="F26" s="2928"/>
      <c r="G26" s="2928"/>
      <c r="H26" s="2928"/>
      <c r="I26" s="2928"/>
      <c r="J26" s="2894"/>
      <c r="K26" s="2928" t="s">
        <v>2825</v>
      </c>
      <c r="L26" s="2928"/>
      <c r="M26" s="2928"/>
      <c r="N26" s="2928"/>
      <c r="O26" s="2928"/>
      <c r="P26" s="2928"/>
      <c r="Q26" s="2894"/>
      <c r="R26" s="3506" t="s">
        <v>2826</v>
      </c>
      <c r="S26" s="3507"/>
      <c r="T26" s="3507"/>
      <c r="U26" s="3507"/>
      <c r="V26" s="3507"/>
      <c r="W26" s="3507"/>
      <c r="X26" s="2894"/>
      <c r="Y26" s="3506" t="s">
        <v>2827</v>
      </c>
      <c r="Z26" s="3507"/>
      <c r="AA26" s="3507"/>
      <c r="AB26" s="3507"/>
      <c r="AC26" s="3507"/>
      <c r="AD26" s="3507"/>
    </row>
    <row r="27" spans="1:30" s="2009" customFormat="1" ht="15" thickBot="1">
      <c r="B27" s="2879"/>
      <c r="C27" s="2880"/>
      <c r="D27" s="2010" t="s">
        <v>2828</v>
      </c>
      <c r="E27" s="2011" t="s">
        <v>2829</v>
      </c>
      <c r="F27" s="2011" t="s">
        <v>2830</v>
      </c>
      <c r="G27" s="2011" t="s">
        <v>2831</v>
      </c>
      <c r="H27" s="2011"/>
      <c r="I27" s="2011" t="s">
        <v>2832</v>
      </c>
      <c r="J27" s="2881"/>
      <c r="K27" s="2010" t="s">
        <v>2828</v>
      </c>
      <c r="L27" s="2011" t="s">
        <v>2829</v>
      </c>
      <c r="M27" s="2011" t="s">
        <v>2830</v>
      </c>
      <c r="N27" s="2011" t="s">
        <v>2831</v>
      </c>
      <c r="O27" s="2011"/>
      <c r="P27" s="2011" t="s">
        <v>2832</v>
      </c>
      <c r="Q27" s="2881"/>
      <c r="R27" s="2010" t="s">
        <v>2828</v>
      </c>
      <c r="S27" s="2011" t="s">
        <v>2829</v>
      </c>
      <c r="T27" s="2011" t="s">
        <v>2830</v>
      </c>
      <c r="U27" s="2011" t="s">
        <v>2831</v>
      </c>
      <c r="V27" s="2011"/>
      <c r="W27" s="2011" t="s">
        <v>2832</v>
      </c>
      <c r="X27" s="2881"/>
      <c r="Y27" s="2010" t="s">
        <v>2828</v>
      </c>
      <c r="Z27" s="2011" t="s">
        <v>2829</v>
      </c>
      <c r="AA27" s="2011" t="s">
        <v>2830</v>
      </c>
      <c r="AB27" s="2011" t="s">
        <v>2831</v>
      </c>
      <c r="AC27" s="2011"/>
      <c r="AD27" s="2011" t="s">
        <v>2832</v>
      </c>
    </row>
    <row r="28" spans="1:30" s="2884" customFormat="1" ht="13.2">
      <c r="A28" s="2882" t="s">
        <v>2833</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3377</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3379</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3.2">
      <c r="A32" s="2039" t="s">
        <v>3372</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3380</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3373</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3371</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3369</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3368</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3366</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3365</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3364</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3354</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2834</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2835</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2836</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2837</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2823</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45649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2308</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7.399999999999999">
      <c r="A6" s="3193" t="s">
        <v>939</v>
      </c>
      <c r="B6" s="3193"/>
      <c r="C6" s="3193"/>
      <c r="D6" s="3193"/>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4" t="s">
        <v>942</v>
      </c>
      <c r="B11" s="3195"/>
      <c r="C11" s="3195"/>
      <c r="D11" s="3195"/>
    </row>
    <row r="12" spans="1:4" ht="15.6">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5" t="str">
        <f>IF(项目基本情况!B8="抵押","4.本次评估估价师所知悉的法定优先受偿款情况说明如下：","——")</f>
        <v>4.本次评估估价师所知悉的法定优先受偿款情况说明如下：</v>
      </c>
      <c r="B14" s="3196"/>
      <c r="C14" s="3196"/>
      <c r="D14" s="3196"/>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6" t="s">
        <v>956</v>
      </c>
      <c r="B15" s="3201" t="s">
        <v>109</v>
      </c>
      <c r="C15" s="3202"/>
    </row>
    <row r="16" spans="1:7" ht="14.4">
      <c r="A16" s="3207"/>
      <c r="B16" s="3201" t="s">
        <v>42</v>
      </c>
      <c r="C16" s="3202"/>
    </row>
    <row r="17" spans="1:3" ht="14.4">
      <c r="A17" s="3207"/>
      <c r="B17" s="3204" t="s">
        <v>957</v>
      </c>
      <c r="C17" s="1428" t="s">
        <v>956</v>
      </c>
    </row>
    <row r="18" spans="1:3" ht="14.4">
      <c r="A18" s="3207"/>
      <c r="B18" s="3204"/>
      <c r="C18" s="1428" t="s">
        <v>958</v>
      </c>
    </row>
    <row r="19" spans="1:3" ht="14.4">
      <c r="A19" s="3207"/>
      <c r="B19" s="3204"/>
      <c r="C19" s="1428" t="s">
        <v>959</v>
      </c>
    </row>
    <row r="20" spans="1:3" ht="14.4">
      <c r="A20" s="3208"/>
      <c r="B20" s="3203" t="s">
        <v>960</v>
      </c>
      <c r="C20" s="3202"/>
    </row>
    <row r="21" spans="1:3" ht="14.4">
      <c r="A21" s="1429" t="s">
        <v>961</v>
      </c>
      <c r="B21" s="1430"/>
      <c r="C21" s="1431"/>
    </row>
    <row r="22" spans="1:3" ht="14.4">
      <c r="A22" s="3205" t="s">
        <v>962</v>
      </c>
      <c r="B22" s="3203" t="s">
        <v>963</v>
      </c>
      <c r="C22" s="3202"/>
    </row>
    <row r="23" spans="1:3" ht="14.4">
      <c r="A23" s="3205"/>
      <c r="B23" s="3203" t="s">
        <v>964</v>
      </c>
      <c r="C23" s="3202"/>
    </row>
    <row r="24" spans="1:3" ht="14.4">
      <c r="A24" s="3205"/>
      <c r="B24" s="3203" t="s">
        <v>965</v>
      </c>
      <c r="C24" s="3202"/>
    </row>
    <row r="25" spans="1:3" ht="14.4">
      <c r="A25" s="3205"/>
      <c r="B25" s="3204" t="s">
        <v>966</v>
      </c>
      <c r="C25" s="1428" t="s">
        <v>967</v>
      </c>
    </row>
    <row r="26" spans="1:3" ht="14.4">
      <c r="A26" s="3205"/>
      <c r="B26" s="3204"/>
      <c r="C26" s="1428" t="s">
        <v>968</v>
      </c>
    </row>
    <row r="27" spans="1:3" ht="14.4">
      <c r="A27" s="3205"/>
      <c r="B27" s="3204"/>
      <c r="C27" s="1428" t="s">
        <v>969</v>
      </c>
    </row>
    <row r="28" spans="1:3" ht="14.4">
      <c r="A28" s="3205"/>
      <c r="B28" s="3204"/>
      <c r="C28" s="1428" t="s">
        <v>970</v>
      </c>
    </row>
    <row r="29" spans="1:3" ht="14.4">
      <c r="A29" s="3205"/>
      <c r="B29" s="3204"/>
      <c r="C29" s="1428" t="s">
        <v>971</v>
      </c>
    </row>
    <row r="30" spans="1:3" ht="14.4">
      <c r="A30" s="3205"/>
      <c r="B30" s="3204"/>
      <c r="C30" s="1428" t="s">
        <v>972</v>
      </c>
    </row>
    <row r="31" spans="1:3" ht="14.4">
      <c r="A31" s="3205"/>
      <c r="B31" s="3204"/>
      <c r="C31" s="1428" t="s">
        <v>973</v>
      </c>
    </row>
    <row r="32" spans="1:3" ht="14.4">
      <c r="A32" s="3205"/>
      <c r="B32" s="3204"/>
      <c r="C32" s="1428" t="s">
        <v>974</v>
      </c>
    </row>
    <row r="33" spans="1:3" ht="14.4">
      <c r="A33" s="3205"/>
      <c r="B33" s="3204"/>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2136</v>
      </c>
      <c r="B2" s="2156">
        <f ca="1">TODAY()</f>
        <v>45665</v>
      </c>
      <c r="C2" s="2157" t="s">
        <v>2137</v>
      </c>
      <c r="D2" s="2157"/>
      <c r="E2" s="2157"/>
      <c r="F2" s="2153"/>
      <c r="G2" s="2153"/>
      <c r="H2" s="2153"/>
    </row>
    <row r="3" spans="1:8" ht="24" customHeight="1">
      <c r="A3" s="2158" t="s">
        <v>2138</v>
      </c>
      <c r="B3" s="1219" t="s">
        <v>2139</v>
      </c>
      <c r="C3" s="1219" t="s">
        <v>2140</v>
      </c>
      <c r="D3" s="2159" t="s">
        <v>2141</v>
      </c>
      <c r="E3" s="2160" t="s">
        <v>2142</v>
      </c>
      <c r="F3" s="1219" t="s">
        <v>2143</v>
      </c>
      <c r="G3" s="1219" t="s">
        <v>2140</v>
      </c>
      <c r="H3" s="2159" t="s">
        <v>2144</v>
      </c>
    </row>
    <row r="4" spans="1:8" ht="24" customHeight="1">
      <c r="A4" s="1219" t="s">
        <v>2145</v>
      </c>
      <c r="B4" s="1219">
        <f ca="1">IF(C4&lt;B2,"已过期",1119970066)</f>
        <v>1119970066</v>
      </c>
      <c r="C4" s="2161">
        <v>45937</v>
      </c>
      <c r="D4" s="2162" t="str">
        <f ca="1">A4&amp;"（注册号："&amp;B4&amp;"）"</f>
        <v>梁津（注册号：1119970066）</v>
      </c>
      <c r="E4" s="2163" t="s">
        <v>2145</v>
      </c>
      <c r="F4" s="1219">
        <f ca="1">IF(G4&lt;B2,"已过期",96010014)</f>
        <v>96010014</v>
      </c>
      <c r="G4" s="2164">
        <v>47118</v>
      </c>
      <c r="H4" s="2165" t="str">
        <f ca="1">E4&amp;"（注册号："&amp;F4&amp;"）"</f>
        <v>梁津（注册号：96010014）</v>
      </c>
    </row>
    <row r="5" spans="1:8" ht="24" customHeight="1">
      <c r="A5" s="1219" t="s">
        <v>2146</v>
      </c>
      <c r="B5" s="1219">
        <f ca="1">IF(C5&lt;B2,"已过期",1119970111)</f>
        <v>1119970111</v>
      </c>
      <c r="C5" s="2161">
        <v>45937</v>
      </c>
      <c r="D5" s="2162" t="str">
        <f t="shared" ref="D5:D15" ca="1" si="0">A5&amp;"（注册号："&amp;B5&amp;"）"</f>
        <v>叶凌（注册号：1119970111）</v>
      </c>
      <c r="E5" s="2163" t="s">
        <v>2146</v>
      </c>
      <c r="F5" s="1219">
        <f ca="1">IF(G5&lt;B2,"已过期",94010078)</f>
        <v>94010078</v>
      </c>
      <c r="G5" s="2164">
        <v>46387</v>
      </c>
      <c r="H5" s="2165" t="str">
        <f t="shared" ref="H5:H16" ca="1" si="1">E5&amp;"（注册号："&amp;F5&amp;"）"</f>
        <v>叶凌（注册号：94010078）</v>
      </c>
    </row>
    <row r="6" spans="1:8" ht="24" customHeight="1">
      <c r="A6" s="1219" t="s">
        <v>2147</v>
      </c>
      <c r="B6" s="1219" t="str">
        <f ca="1">IF(C6&lt;B2,"已过期",1120050019)</f>
        <v>已过期</v>
      </c>
      <c r="C6" s="2161">
        <v>45410</v>
      </c>
      <c r="D6" s="2162" t="str">
        <f t="shared" ca="1" si="0"/>
        <v>王鹏（注册号：已过期）</v>
      </c>
      <c r="E6" s="2163" t="s">
        <v>2147</v>
      </c>
      <c r="F6" s="1219">
        <f ca="1">IF(G6&lt;B2,"已过期",2002110030)</f>
        <v>2002110030</v>
      </c>
      <c r="G6" s="2164">
        <v>46387</v>
      </c>
      <c r="H6" s="2165" t="str">
        <f t="shared" ca="1" si="1"/>
        <v>王鹏（注册号：2002110030）</v>
      </c>
    </row>
    <row r="7" spans="1:8" ht="24" customHeight="1">
      <c r="A7" s="1219" t="s">
        <v>2148</v>
      </c>
      <c r="B7" s="1219">
        <f ca="1">IF(C7&lt;B2,"已过期",1120000080)</f>
        <v>1120000080</v>
      </c>
      <c r="C7" s="2161">
        <v>45937</v>
      </c>
      <c r="D7" s="2162" t="str">
        <f t="shared" ca="1" si="0"/>
        <v>欧红伟（注册号：1120000080）</v>
      </c>
      <c r="E7" s="2163" t="s">
        <v>2148</v>
      </c>
      <c r="F7" s="1219">
        <f ca="1">IF(G7&lt;B2,"已过期",2000110082)</f>
        <v>2000110082</v>
      </c>
      <c r="G7" s="2164">
        <v>46387</v>
      </c>
      <c r="H7" s="2165" t="str">
        <f t="shared" ca="1" si="1"/>
        <v>欧红伟（注册号：2000110082）</v>
      </c>
    </row>
    <row r="8" spans="1:8" ht="24" customHeight="1">
      <c r="A8" s="1219" t="s">
        <v>2149</v>
      </c>
      <c r="B8" s="1219">
        <f ca="1">IF(C8&lt;B2,"已过期",1419970001)</f>
        <v>1419970001</v>
      </c>
      <c r="C8" s="2161">
        <v>45937</v>
      </c>
      <c r="D8" s="2162" t="str">
        <f t="shared" ca="1" si="0"/>
        <v>吴薇（注册号：1419970001）</v>
      </c>
      <c r="E8" s="2163" t="s">
        <v>2149</v>
      </c>
      <c r="F8" s="1219">
        <f ca="1">IF(G8&lt;B2,"已过期",2002110125)</f>
        <v>2002110125</v>
      </c>
      <c r="G8" s="2164">
        <v>47118</v>
      </c>
      <c r="H8" s="2165" t="str">
        <f t="shared" ca="1" si="1"/>
        <v>吴薇（注册号：2002110125）</v>
      </c>
    </row>
    <row r="9" spans="1:8" ht="24" customHeight="1">
      <c r="A9" s="1219" t="s">
        <v>2150</v>
      </c>
      <c r="B9" s="1219" t="str">
        <f ca="1">IF(C9&lt;B2,"已过期",1120060040)</f>
        <v>已过期</v>
      </c>
      <c r="C9" s="2166">
        <v>45592</v>
      </c>
      <c r="D9" s="2162" t="str">
        <f t="shared" ca="1" si="0"/>
        <v>陈颖（注册号：已过期）</v>
      </c>
      <c r="E9" s="2163" t="s">
        <v>2150</v>
      </c>
      <c r="F9" s="1219">
        <f ca="1">IF(G9&lt;B2,"已过期",2004110096)</f>
        <v>2004110096</v>
      </c>
      <c r="G9" s="2164">
        <v>47118</v>
      </c>
      <c r="H9" s="2165" t="str">
        <f t="shared" ca="1" si="1"/>
        <v>陈颖（注册号：2004110096）</v>
      </c>
    </row>
    <row r="10" spans="1:8" ht="24" customHeight="1">
      <c r="A10" s="1219" t="s">
        <v>2151</v>
      </c>
      <c r="B10" s="1219">
        <f ca="1">IF(C10&lt;B2,"已过期",1120100036)</f>
        <v>1120100036</v>
      </c>
      <c r="C10" s="2166">
        <v>45752</v>
      </c>
      <c r="D10" s="2162" t="str">
        <f t="shared" ca="1" si="0"/>
        <v>崔锴（注册号：1120100036）</v>
      </c>
      <c r="E10" s="2163" t="s">
        <v>2151</v>
      </c>
      <c r="F10" s="1219">
        <f ca="1">IF(G10&lt;B2,"已过期",2010110070)</f>
        <v>2010110070</v>
      </c>
      <c r="G10" s="2164">
        <v>47907</v>
      </c>
      <c r="H10" s="2165" t="str">
        <f t="shared" ca="1" si="1"/>
        <v>崔锴（注册号：2010110070）</v>
      </c>
    </row>
    <row r="11" spans="1:8" ht="24" customHeight="1">
      <c r="A11" s="1219" t="s">
        <v>2152</v>
      </c>
      <c r="B11" s="1219">
        <f ca="1">IF(C11&lt;B2,"已过期",1120070131)</f>
        <v>1120070131</v>
      </c>
      <c r="C11" s="2161">
        <v>45937</v>
      </c>
      <c r="D11" s="2162" t="str">
        <f t="shared" ca="1" si="0"/>
        <v>郑燚（注册号：1120070131）</v>
      </c>
      <c r="E11" s="2163" t="s">
        <v>2152</v>
      </c>
      <c r="F11" s="1219">
        <f ca="1">IF(G11&lt;B2,"已过期",2014110011)</f>
        <v>2014110011</v>
      </c>
      <c r="G11" s="2164">
        <v>49302</v>
      </c>
      <c r="H11" s="2165" t="str">
        <f t="shared" ca="1" si="1"/>
        <v>郑燚（注册号：2014110011）</v>
      </c>
    </row>
    <row r="12" spans="1:8" ht="24" customHeight="1">
      <c r="A12" s="1219" t="s">
        <v>2153</v>
      </c>
      <c r="B12" s="1219">
        <f ca="1">IF(C12&lt;B2,"已过期",1120040230)</f>
        <v>1120040230</v>
      </c>
      <c r="C12" s="2166">
        <v>45937</v>
      </c>
      <c r="D12" s="2162" t="str">
        <f t="shared" ca="1" si="0"/>
        <v>苏海（注册号：1120040230）</v>
      </c>
      <c r="E12" s="2163" t="s">
        <v>2153</v>
      </c>
      <c r="F12" s="1219">
        <f ca="1">IF(G12&lt;B2,"已过期",98030020)</f>
        <v>98030020</v>
      </c>
      <c r="G12" s="2164">
        <v>47118</v>
      </c>
      <c r="H12" s="2165" t="str">
        <f t="shared" ca="1" si="1"/>
        <v>苏海（注册号：98030020）</v>
      </c>
    </row>
    <row r="13" spans="1:8" ht="24" customHeight="1">
      <c r="A13" s="1219" t="s">
        <v>2154</v>
      </c>
      <c r="B13" s="1219" t="str">
        <f ca="1">IF(C13&lt;B2,"已过期",1120020033)</f>
        <v>已过期</v>
      </c>
      <c r="C13" s="2161">
        <v>45375</v>
      </c>
      <c r="D13" s="2162" t="str">
        <f t="shared" ca="1" si="0"/>
        <v>刘敬东（注册号：已过期）</v>
      </c>
      <c r="E13" s="2163" t="s">
        <v>2154</v>
      </c>
      <c r="F13" s="1219">
        <f ca="1">IF(G13&lt;B2,"已过期",2000110137)</f>
        <v>2000110137</v>
      </c>
      <c r="G13" s="2164">
        <v>46387</v>
      </c>
      <c r="H13" s="2165" t="str">
        <f t="shared" ca="1" si="1"/>
        <v>刘敬东（注册号：2000110137）</v>
      </c>
    </row>
    <row r="14" spans="1:8" ht="24" customHeight="1">
      <c r="A14" s="1219" t="s">
        <v>2155</v>
      </c>
      <c r="B14" s="1219" t="str">
        <f ca="1">IF(C14&lt;B2,"已过期",1119980106)</f>
        <v>已过期</v>
      </c>
      <c r="C14" s="2166">
        <v>44969</v>
      </c>
      <c r="D14" s="2162" t="str">
        <f t="shared" ca="1" si="0"/>
        <v>刘俊财（注册号：已过期）</v>
      </c>
      <c r="E14" s="2163" t="s">
        <v>2155</v>
      </c>
      <c r="F14" s="1219">
        <f ca="1">IF(G14&lt;B2,"已过期",96010063)</f>
        <v>96010063</v>
      </c>
      <c r="G14" s="2164">
        <v>47483</v>
      </c>
      <c r="H14" s="2165" t="str">
        <f t="shared" ca="1" si="1"/>
        <v>刘俊财（注册号：96010063）</v>
      </c>
    </row>
    <row r="15" spans="1:8" ht="24" customHeight="1">
      <c r="A15" s="1219" t="s">
        <v>2436</v>
      </c>
      <c r="B15" s="1219">
        <v>1120210056</v>
      </c>
      <c r="C15" s="2166">
        <v>45410</v>
      </c>
      <c r="D15" s="2162" t="str">
        <f t="shared" si="0"/>
        <v>宁小鳗（注册号：1120210056）</v>
      </c>
      <c r="E15" s="2163" t="s">
        <v>2156</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9" t="s">
        <v>2157</v>
      </c>
      <c r="B17" s="3209"/>
      <c r="C17" s="3209"/>
      <c r="D17" s="3209"/>
      <c r="E17" s="3209"/>
      <c r="F17" s="3209"/>
      <c r="G17" s="3209"/>
      <c r="H17" s="3209"/>
    </row>
    <row r="18" spans="1:8" ht="24" customHeight="1">
      <c r="A18" s="3210" t="s">
        <v>2158</v>
      </c>
      <c r="B18" s="3210"/>
      <c r="C18" s="3210"/>
      <c r="D18" s="2159"/>
      <c r="E18" s="3211" t="s">
        <v>2159</v>
      </c>
      <c r="F18" s="3210"/>
      <c r="G18" s="3210"/>
    </row>
    <row r="19" spans="1:8" s="2169" customFormat="1" ht="24" customHeight="1">
      <c r="A19" s="2168" t="s">
        <v>2160</v>
      </c>
      <c r="B19" s="1219" t="s">
        <v>2161</v>
      </c>
      <c r="C19" s="1219" t="s">
        <v>2140</v>
      </c>
      <c r="D19" s="2159"/>
      <c r="E19" s="2163" t="s">
        <v>2160</v>
      </c>
      <c r="F19" s="1219" t="s">
        <v>2161</v>
      </c>
      <c r="G19" s="1219" t="s">
        <v>2140</v>
      </c>
    </row>
    <row r="20" spans="1:8" s="2169" customFormat="1" ht="24" customHeight="1">
      <c r="A20" s="2170" t="s">
        <v>2162</v>
      </c>
      <c r="B20" s="2170" t="s">
        <v>2163</v>
      </c>
      <c r="C20" s="2164">
        <v>45898</v>
      </c>
      <c r="D20" s="2171"/>
      <c r="E20" s="2172" t="s">
        <v>2164</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209" priority="32" stopIfTrue="1" operator="equal">
      <formula>"已过期"</formula>
    </cfRule>
  </conditionalFormatting>
  <conditionalFormatting sqref="B4:B15">
    <cfRule type="cellIs" dxfId="208" priority="4" stopIfTrue="1" operator="equal">
      <formula>"已过期"</formula>
    </cfRule>
  </conditionalFormatting>
  <conditionalFormatting sqref="C7:C12">
    <cfRule type="expression" dxfId="207" priority="22">
      <formula>AND($C7-TODAY()&lt;30,TODAY()&lt;$C7)</formula>
    </cfRule>
    <cfRule type="cellIs" dxfId="206" priority="23" stopIfTrue="1" operator="lessThan">
      <formula>$B$2</formula>
    </cfRule>
  </conditionalFormatting>
  <conditionalFormatting sqref="C14:C15">
    <cfRule type="expression" dxfId="205" priority="7">
      <formula>AND($C14-TODAY()&lt;30,TODAY()&lt;$C14)</formula>
    </cfRule>
    <cfRule type="cellIs" dxfId="204" priority="8" stopIfTrue="1" operator="lessThan">
      <formula>$B$2</formula>
    </cfRule>
  </conditionalFormatting>
  <conditionalFormatting sqref="C4:D6 D14">
    <cfRule type="cellIs" dxfId="203" priority="50" stopIfTrue="1" operator="lessThan">
      <formula>$B$2</formula>
    </cfRule>
  </conditionalFormatting>
  <conditionalFormatting sqref="C12:D13">
    <cfRule type="expression" dxfId="202" priority="47">
      <formula>AND($C12-TODAY()&lt;30,TODAY()&lt;$C12)</formula>
    </cfRule>
  </conditionalFormatting>
  <conditionalFormatting sqref="C13:D14">
    <cfRule type="expression" dxfId="201" priority="18">
      <formula>AND($C13-TODAY()&lt;30,TODAY()&lt;$C13)</formula>
    </cfRule>
    <cfRule type="cellIs" dxfId="200" priority="19" stopIfTrue="1" operator="lessThan">
      <formula>$B$2</formula>
    </cfRule>
  </conditionalFormatting>
  <conditionalFormatting sqref="C15:D15">
    <cfRule type="expression" dxfId="199" priority="5">
      <formula>AND($C15-TODAY()&lt;30,TODAY()&lt;$C15)</formula>
    </cfRule>
    <cfRule type="cellIs" dxfId="198" priority="6" stopIfTrue="1" operator="lessThan">
      <formula>$B$2</formula>
    </cfRule>
  </conditionalFormatting>
  <conditionalFormatting sqref="C20:D20 C13:D13">
    <cfRule type="cellIs" dxfId="197" priority="54" stopIfTrue="1" operator="lessThan">
      <formula>$B$2</formula>
    </cfRule>
  </conditionalFormatting>
  <conditionalFormatting sqref="C20:D20">
    <cfRule type="expression" dxfId="196" priority="52">
      <formula>AND($C20-TODAY()&lt;30,TODAY()&lt;$C20)</formula>
    </cfRule>
  </conditionalFormatting>
  <conditionalFormatting sqref="D7:D12 D16">
    <cfRule type="expression" dxfId="195" priority="53">
      <formula>AND($C7-TODAY()&lt;30,TODAY()&lt;$C7)</formula>
    </cfRule>
  </conditionalFormatting>
  <conditionalFormatting sqref="D7:D12">
    <cfRule type="cellIs" dxfId="194" priority="48" stopIfTrue="1" operator="lessThan">
      <formula>$B$2</formula>
    </cfRule>
  </conditionalFormatting>
  <conditionalFormatting sqref="D14 C4:D6">
    <cfRule type="expression" dxfId="193" priority="49">
      <formula>AND($C4-TODAY()&lt;30,TODAY()&lt;$C4)</formula>
    </cfRule>
  </conditionalFormatting>
  <conditionalFormatting sqref="D15:D16">
    <cfRule type="expression" dxfId="192" priority="12">
      <formula>AND($C15-TODAY()&lt;30,TODAY()&lt;$C15)</formula>
    </cfRule>
    <cfRule type="cellIs" dxfId="191" priority="13" stopIfTrue="1" operator="lessThan">
      <formula>$B$2</formula>
    </cfRule>
  </conditionalFormatting>
  <conditionalFormatting sqref="E16:G16">
    <cfRule type="cellIs" dxfId="190" priority="31" stopIfTrue="1" operator="equal">
      <formula>"已过期"</formula>
    </cfRule>
  </conditionalFormatting>
  <conditionalFormatting sqref="F4:F15">
    <cfRule type="cellIs" dxfId="189" priority="9" stopIfTrue="1" operator="equal">
      <formula>"已过期"</formula>
    </cfRule>
  </conditionalFormatting>
  <conditionalFormatting sqref="G4:G15">
    <cfRule type="cellIs" dxfId="188" priority="3" stopIfTrue="1" operator="lessThan">
      <formula>$B$2</formula>
    </cfRule>
  </conditionalFormatting>
  <conditionalFormatting sqref="G20:G21">
    <cfRule type="expression" dxfId="187" priority="1" stopIfTrue="1">
      <formula>AND(#REF!-TODAY()&lt;30,TODAY()&lt;#REF!)</formula>
    </cfRule>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结果表1511</vt:lpstr>
      <vt:lpstr>结果表712</vt:lpstr>
      <vt:lpstr>结果表1805</vt:lpstr>
      <vt:lpstr>结果表2006</vt:lpstr>
      <vt:lpstr>结果表2012</vt:lpstr>
      <vt:lpstr>分套净值</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比较法-办公 租金</vt:lpstr>
      <vt:lpstr>典型户型修正</vt:lpstr>
      <vt:lpstr>基准地价（汇总）</vt:lpstr>
      <vt:lpstr>面积清单</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结果表1511!Print_Area</vt:lpstr>
      <vt:lpstr>结果表1805!Print_Area</vt:lpstr>
      <vt:lpstr>结果表2006!Print_Area</vt:lpstr>
      <vt:lpstr>结果表2012!Print_Area</vt:lpstr>
      <vt:lpstr>结果表712!Print_Area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2025-01-08T04:31:40Z</dcterms:modified>
</cp:coreProperties>
</file>