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 i="78" l="1"/>
  <c r="N7" i="1"/>
  <c r="L7" i="1" l="1"/>
  <c r="I9" i="78"/>
  <c r="F3" i="78"/>
  <c r="F4" i="78"/>
  <c r="F20" i="6"/>
  <c r="C25" i="3"/>
  <c r="B25" i="3"/>
  <c r="A24" i="3"/>
  <c r="C23" i="3"/>
  <c r="G2" i="78" l="1"/>
  <c r="F8" i="78" l="1"/>
  <c r="F7" i="78"/>
  <c r="F6" i="78"/>
  <c r="F5" i="78"/>
  <c r="G5" i="78" l="1"/>
  <c r="G6" i="78"/>
  <c r="G7" i="78"/>
  <c r="A15" i="3"/>
  <c r="A13" i="3"/>
  <c r="I4" i="78"/>
  <c r="I8" i="78"/>
  <c r="I3" i="78"/>
  <c r="I5" i="78"/>
  <c r="I6" i="78"/>
  <c r="I7" i="78"/>
  <c r="I2" i="78"/>
  <c r="C9" i="78"/>
  <c r="G3" i="78"/>
  <c r="G4" i="78"/>
  <c r="G8" i="78"/>
  <c r="I20" i="43"/>
  <c r="I4" i="6"/>
  <c r="G3" i="43" s="1"/>
  <c r="K81" i="43"/>
  <c r="D81" i="43"/>
  <c r="K82" i="43"/>
  <c r="D82" i="43"/>
  <c r="K83" i="43"/>
  <c r="D83" i="43"/>
  <c r="K84" i="43"/>
  <c r="D84" i="43"/>
  <c r="D85" i="43"/>
  <c r="D86" i="43"/>
  <c r="K87" i="43"/>
  <c r="D87" i="43"/>
  <c r="D88" i="43"/>
  <c r="E81" i="43"/>
  <c r="B79" i="43" s="1"/>
  <c r="C24" i="43" s="1"/>
  <c r="A6" i="1"/>
  <c r="G1" i="15"/>
  <c r="BD17" i="3"/>
  <c r="BD18" i="3"/>
  <c r="BD19" i="3"/>
  <c r="BD20" i="3"/>
  <c r="BA20" i="3"/>
  <c r="AZ20" i="3"/>
  <c r="BD21" i="3"/>
  <c r="BA21" i="3"/>
  <c r="AZ21" i="3"/>
  <c r="BD22" i="3"/>
  <c r="BA22" i="3"/>
  <c r="AZ22" i="3"/>
  <c r="BD23" i="3"/>
  <c r="BA23" i="3"/>
  <c r="AZ23" i="3"/>
  <c r="H17" i="3"/>
  <c r="G17" i="3"/>
  <c r="H18" i="3"/>
  <c r="G18" i="3"/>
  <c r="H19" i="3"/>
  <c r="G19" i="3"/>
  <c r="H20" i="3"/>
  <c r="G20" i="3"/>
  <c r="H21" i="3"/>
  <c r="G21" i="3"/>
  <c r="H22" i="3"/>
  <c r="G22" i="3"/>
  <c r="H23" i="3"/>
  <c r="G23" i="3"/>
  <c r="G5" i="3"/>
  <c r="B3" i="3"/>
  <c r="E19" i="6"/>
  <c r="L20" i="6"/>
  <c r="F20" i="15"/>
  <c r="F21" i="15"/>
  <c r="E5" i="6"/>
  <c r="F20" i="68"/>
  <c r="G1" i="68"/>
  <c r="K6" i="1"/>
  <c r="K8" i="1"/>
  <c r="K9" i="1"/>
  <c r="K10" i="1"/>
  <c r="K11" i="1"/>
  <c r="K12" i="1"/>
  <c r="K13" i="1"/>
  <c r="F21" i="68"/>
  <c r="C21" i="68"/>
  <c r="F34" i="68"/>
  <c r="C36" i="68" s="1"/>
  <c r="M6" i="1"/>
  <c r="M8" i="1"/>
  <c r="M9" i="1"/>
  <c r="M10" i="1"/>
  <c r="M11" i="1"/>
  <c r="M12" i="1"/>
  <c r="M13" i="1"/>
  <c r="F36" i="68"/>
  <c r="D9" i="68"/>
  <c r="C40" i="68"/>
  <c r="C17" i="9"/>
  <c r="D17" i="9"/>
  <c r="A14" i="3"/>
  <c r="A25" i="3"/>
  <c r="K5" i="3"/>
  <c r="I5" i="3"/>
  <c r="BC15" i="3"/>
  <c r="BB15" i="3"/>
  <c r="BA15" i="3" s="1"/>
  <c r="BC19" i="3"/>
  <c r="BB19" i="3"/>
  <c r="BA19" i="3" s="1"/>
  <c r="AZ19" i="3" s="1"/>
  <c r="BB16" i="3"/>
  <c r="BA16" i="3" s="1"/>
  <c r="AZ16" i="3" s="1"/>
  <c r="BB17" i="3"/>
  <c r="BA17" i="3" s="1"/>
  <c r="BB18" i="3"/>
  <c r="BA18" i="3" s="1"/>
  <c r="AZ18" i="3" s="1"/>
  <c r="BB20" i="3"/>
  <c r="G1" i="77"/>
  <c r="E20" i="6"/>
  <c r="K7" i="1" s="1"/>
  <c r="B29" i="1" s="1"/>
  <c r="C8" i="68" s="1"/>
  <c r="S6" i="1"/>
  <c r="T6" i="1" s="1"/>
  <c r="F15" i="77"/>
  <c r="F17" i="77"/>
  <c r="F18" i="77"/>
  <c r="F20" i="77"/>
  <c r="F23" i="77"/>
  <c r="F21" i="77"/>
  <c r="F28" i="77"/>
  <c r="C28" i="77"/>
  <c r="F32" i="77"/>
  <c r="F33" i="77"/>
  <c r="F34" i="77"/>
  <c r="R8" i="1"/>
  <c r="H15" i="3"/>
  <c r="G15" i="3"/>
  <c r="H16" i="3"/>
  <c r="G16" i="3"/>
  <c r="L19" i="6"/>
  <c r="R6" i="1"/>
  <c r="AE8" i="1"/>
  <c r="M47" i="77"/>
  <c r="F6" i="1"/>
  <c r="J50" i="77"/>
  <c r="J51" i="77"/>
  <c r="M47" i="15"/>
  <c r="AE6" i="1"/>
  <c r="D6" i="1"/>
  <c r="K59" i="77"/>
  <c r="P74" i="77"/>
  <c r="Q72" i="77"/>
  <c r="F60" i="77"/>
  <c r="F61" i="77"/>
  <c r="F62" i="77"/>
  <c r="P61" i="77"/>
  <c r="Q59" i="77"/>
  <c r="F59" i="77"/>
  <c r="Q58" i="77"/>
  <c r="Q51" i="77"/>
  <c r="D46" i="77"/>
  <c r="F31" i="77"/>
  <c r="M18" i="77"/>
  <c r="M19" i="77"/>
  <c r="M20" i="77"/>
  <c r="D24" i="77"/>
  <c r="D23" i="77"/>
  <c r="D22" i="77"/>
  <c r="M17"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F38" i="43"/>
  <c r="F37" i="43"/>
  <c r="D5" i="43"/>
  <c r="F36" i="43"/>
  <c r="F35" i="43"/>
  <c r="F34" i="43"/>
  <c r="J53" i="67"/>
  <c r="J50" i="15"/>
  <c r="J51" i="15"/>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L17" i="3" s="1"/>
  <c r="BL5" i="3" s="1"/>
  <c r="BO17" i="3"/>
  <c r="BP17" i="3"/>
  <c r="BQ17" i="3"/>
  <c r="BR17" i="3"/>
  <c r="BS17" i="3"/>
  <c r="BT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s="1"/>
  <c r="E65" i="39"/>
  <c r="G30" i="6"/>
  <c r="G31" i="6" s="1"/>
  <c r="J56" i="9"/>
  <c r="J57" i="9"/>
  <c r="A24" i="51"/>
  <c r="B18" i="72"/>
  <c r="U29" i="34"/>
  <c r="E14" i="6"/>
  <c r="E64" i="39" s="1"/>
  <c r="F64" i="39" s="1"/>
  <c r="D9" i="11"/>
  <c r="C9" i="11" s="1"/>
  <c r="P10" i="1"/>
  <c r="E32" i="6"/>
  <c r="K1" i="12"/>
  <c r="F30" i="6"/>
  <c r="E28" i="6"/>
  <c r="E57" i="40"/>
  <c r="AR12" i="1"/>
  <c r="AQ12" i="1"/>
  <c r="T12" i="1"/>
  <c r="AR10" i="1"/>
  <c r="T10" i="1"/>
  <c r="E19" i="69"/>
  <c r="E19" i="68"/>
  <c r="E19" i="11"/>
  <c r="E1" i="73"/>
  <c r="K1" i="73"/>
  <c r="G41" i="69"/>
  <c r="G22" i="69"/>
  <c r="G41" i="68"/>
  <c r="G22" i="68"/>
  <c r="G27" i="12"/>
  <c r="G26" i="12"/>
  <c r="G41" i="11"/>
  <c r="G22" i="11"/>
  <c r="G25" i="12"/>
  <c r="C100" i="43"/>
  <c r="E11" i="43"/>
  <c r="E10" i="43"/>
  <c r="E9" i="43"/>
  <c r="E8" i="43"/>
  <c r="C7" i="43"/>
  <c r="E48" i="43"/>
  <c r="B46" i="43"/>
  <c r="E70" i="43"/>
  <c r="B68"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B6" i="1"/>
  <c r="E6" i="1"/>
  <c r="S8" i="1"/>
  <c r="AR8"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6"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R11" i="1"/>
  <c r="E59" i="40"/>
  <c r="D68" i="39"/>
  <c r="D70" i="39"/>
  <c r="C28" i="15"/>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L27" i="6"/>
  <c r="AP7" i="1"/>
  <c r="C36" i="69" s="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E6" i="3" s="1"/>
  <c r="P7" i="1"/>
  <c r="P16" i="1" s="1"/>
  <c r="C11" i="12"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B57" i="40"/>
  <c r="F57" i="40"/>
  <c r="B58" i="40"/>
  <c r="F58" i="40"/>
  <c r="B59" i="40"/>
  <c r="F59" i="40"/>
  <c r="B52" i="40"/>
  <c r="F52" i="40"/>
  <c r="B56" i="40"/>
  <c r="B51" i="40"/>
  <c r="B54" i="40"/>
  <c r="F54" i="40"/>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B58" i="39"/>
  <c r="F58" i="39"/>
  <c r="B59" i="39"/>
  <c r="F59" i="39"/>
  <c r="B64" i="39"/>
  <c r="B65" i="39"/>
  <c r="F65" i="39"/>
  <c r="B57" i="39"/>
  <c r="F57" i="39"/>
  <c r="B63" i="39"/>
  <c r="F63" i="39"/>
  <c r="B62" i="39"/>
  <c r="F62" i="39"/>
  <c r="H112" i="9"/>
  <c r="D21" i="53"/>
  <c r="B39" i="72"/>
  <c r="H111" i="9"/>
  <c r="D126" i="9"/>
  <c r="D19" i="53"/>
  <c r="D59" i="9"/>
  <c r="M55" i="9"/>
  <c r="B38" i="72"/>
  <c r="D20" i="53"/>
  <c r="B40" i="72"/>
  <c r="I14" i="74"/>
  <c r="B8" i="74"/>
  <c r="D127" i="9"/>
  <c r="D13" i="52"/>
  <c r="D12" i="52"/>
  <c r="AD3" i="71"/>
  <c r="P21" i="43"/>
  <c r="P22" i="43"/>
  <c r="P23" i="43"/>
  <c r="B71" i="39"/>
  <c r="P24" i="43"/>
  <c r="B66" i="40"/>
  <c r="P25" i="43"/>
  <c r="F8" i="15"/>
  <c r="F7" i="77"/>
  <c r="F42" i="15"/>
  <c r="B8" i="76"/>
  <c r="F35" i="77"/>
  <c r="F41" i="77"/>
  <c r="M29" i="77"/>
  <c r="F41" i="67"/>
  <c r="F4" i="73"/>
  <c r="F37" i="77"/>
  <c r="M6" i="15"/>
  <c r="B13" i="76"/>
  <c r="F5" i="73"/>
  <c r="J15" i="15"/>
  <c r="M8" i="67"/>
  <c r="F6" i="77"/>
  <c r="M26" i="77"/>
  <c r="F13" i="67"/>
  <c r="M27" i="77"/>
  <c r="B12" i="76"/>
  <c r="F9" i="15"/>
  <c r="L48" i="67"/>
  <c r="D2" i="34"/>
  <c r="F42" i="77"/>
  <c r="F8" i="77"/>
  <c r="F6" i="67"/>
  <c r="L47" i="67"/>
  <c r="M9" i="77"/>
  <c r="M24" i="67"/>
  <c r="B10" i="76"/>
  <c r="F43" i="15"/>
  <c r="C76" i="77"/>
  <c r="M28" i="77"/>
  <c r="D6" i="73"/>
  <c r="E7" i="76"/>
  <c r="F36" i="67"/>
  <c r="M29" i="67"/>
  <c r="F43" i="67"/>
  <c r="C14" i="77"/>
  <c r="M23" i="77"/>
  <c r="C76" i="67"/>
  <c r="F3" i="73"/>
  <c r="M21" i="67"/>
  <c r="E2" i="69"/>
  <c r="F35" i="67"/>
  <c r="F7" i="67"/>
  <c r="F9" i="67"/>
  <c r="M27" i="67"/>
  <c r="F26" i="77"/>
  <c r="L48" i="15"/>
  <c r="M22" i="15"/>
  <c r="M29" i="15"/>
  <c r="M28" i="67"/>
  <c r="M23" i="67"/>
  <c r="E2" i="68"/>
  <c r="E12" i="76"/>
  <c r="M26" i="15"/>
  <c r="F16" i="67"/>
  <c r="AO9" i="1"/>
  <c r="E13" i="76"/>
  <c r="M8" i="15"/>
  <c r="M22" i="77"/>
  <c r="M8" i="77"/>
  <c r="F36" i="77"/>
  <c r="F20" i="31"/>
  <c r="F40" i="15"/>
  <c r="D4" i="73"/>
  <c r="M21" i="77"/>
  <c r="L48" i="77"/>
  <c r="D2" i="36"/>
  <c r="E8" i="76"/>
  <c r="F37" i="67"/>
  <c r="F26" i="67"/>
  <c r="M9" i="15"/>
  <c r="F7" i="15"/>
  <c r="J15" i="77"/>
  <c r="AO12" i="1"/>
  <c r="J15" i="67"/>
  <c r="F6" i="73"/>
  <c r="D5" i="73"/>
  <c r="G1" i="73" s="1"/>
  <c r="M6" i="77"/>
  <c r="D7" i="73"/>
  <c r="M28" i="15"/>
  <c r="D2" i="35"/>
  <c r="E9" i="76"/>
  <c r="F36" i="15"/>
  <c r="M6" i="67"/>
  <c r="F43" i="77"/>
  <c r="F26" i="15"/>
  <c r="M24" i="77"/>
  <c r="AO11" i="1"/>
  <c r="D2" i="21"/>
  <c r="AO13" i="1"/>
  <c r="M23" i="15"/>
  <c r="D2" i="37"/>
  <c r="F13" i="77"/>
  <c r="F37" i="15"/>
  <c r="E10" i="76"/>
  <c r="M26" i="67"/>
  <c r="F8" i="67"/>
  <c r="L47" i="77"/>
  <c r="D2" i="33"/>
  <c r="AO6" i="1"/>
  <c r="F38" i="77"/>
  <c r="F16" i="77"/>
  <c r="B7" i="76"/>
  <c r="F40" i="77"/>
  <c r="C76" i="15"/>
  <c r="L47" i="15"/>
  <c r="AO10" i="1"/>
  <c r="F7" i="73"/>
  <c r="M9" i="67"/>
  <c r="M24" i="15"/>
  <c r="F16" i="15"/>
  <c r="F6" i="15"/>
  <c r="B11" i="76"/>
  <c r="B9" i="76"/>
  <c r="F40" i="67"/>
  <c r="F9" i="77"/>
  <c r="AO8" i="1"/>
  <c r="F38" i="15"/>
  <c r="E11" i="76"/>
  <c r="F42" i="67"/>
  <c r="M27" i="15"/>
  <c r="M22" i="67"/>
  <c r="F38" i="67"/>
  <c r="D3" i="73"/>
  <c r="C18" i="9" l="1"/>
  <c r="D18" i="9" s="1"/>
  <c r="O16" i="1"/>
  <c r="T8" i="1"/>
  <c r="T9" i="1"/>
  <c r="AQ9" i="1"/>
  <c r="E22" i="43"/>
  <c r="H22" i="43"/>
  <c r="B113" i="43"/>
  <c r="F101" i="43"/>
  <c r="G101" i="43"/>
  <c r="J101" i="43"/>
  <c r="H101" i="43"/>
  <c r="M101" i="43"/>
  <c r="E101" i="43"/>
  <c r="AJ11" i="43"/>
  <c r="AJ13" i="43" s="1"/>
  <c r="AF11" i="43"/>
  <c r="AF13" i="43" s="1"/>
  <c r="AB11" i="43"/>
  <c r="AB13" i="43" s="1"/>
  <c r="Z7" i="43"/>
  <c r="G22" i="43"/>
  <c r="K101" i="43"/>
  <c r="N101" i="43"/>
  <c r="C101" i="43"/>
  <c r="N104" i="46"/>
  <c r="L101" i="43"/>
  <c r="D101" i="43"/>
  <c r="D107" i="43" s="1"/>
  <c r="I101" i="43"/>
  <c r="AH11" i="43"/>
  <c r="AH13" i="43" s="1"/>
  <c r="AD11" i="43"/>
  <c r="AD13" i="43" s="1"/>
  <c r="Z11" i="43"/>
  <c r="Z13" i="43" s="1"/>
  <c r="AI11" i="43"/>
  <c r="AI13" i="43" s="1"/>
  <c r="AG11" i="43"/>
  <c r="AG13" i="43" s="1"/>
  <c r="AE11" i="43"/>
  <c r="AE13" i="43" s="1"/>
  <c r="AC11" i="43"/>
  <c r="AC13" i="43" s="1"/>
  <c r="AA11" i="43"/>
  <c r="AA13" i="43" s="1"/>
  <c r="Y11" i="43"/>
  <c r="Y13" i="43" s="1"/>
  <c r="J22" i="43"/>
  <c r="AZ17" i="3"/>
  <c r="E107" i="43"/>
  <c r="L106" i="43"/>
  <c r="H106" i="43"/>
  <c r="L105" i="43"/>
  <c r="L103" i="43"/>
  <c r="E102" i="43"/>
  <c r="Q16" i="1"/>
  <c r="M7" i="1"/>
  <c r="F22" i="43"/>
  <c r="E30" i="6"/>
  <c r="K15" i="1"/>
  <c r="E51" i="40"/>
  <c r="F51" i="40" s="1"/>
  <c r="E16" i="6"/>
  <c r="F27" i="6"/>
  <c r="F31" i="6" s="1"/>
  <c r="E56" i="39"/>
  <c r="AZ15" i="3"/>
  <c r="AZ5" i="3" s="1"/>
  <c r="BA5" i="3"/>
  <c r="E27" i="6" s="1"/>
  <c r="K20" i="6" s="1"/>
  <c r="E56" i="40"/>
  <c r="F56" i="40" s="1"/>
  <c r="I106" i="43"/>
  <c r="E106" i="43"/>
  <c r="I105" i="43"/>
  <c r="M104" i="43"/>
  <c r="I104" i="43"/>
  <c r="M103" i="43"/>
  <c r="I103" i="43"/>
  <c r="K14" i="1"/>
  <c r="K19" i="6"/>
  <c r="B13" i="49"/>
  <c r="E6" i="49"/>
  <c r="E4" i="49"/>
  <c r="E21" i="49"/>
  <c r="B16" i="49"/>
  <c r="E9" i="49"/>
  <c r="B11" i="49"/>
  <c r="C4" i="4" s="1"/>
  <c r="B4" i="62" s="1"/>
  <c r="B71" i="72" s="1"/>
  <c r="E7" i="49"/>
  <c r="B10" i="49"/>
  <c r="E11" i="49"/>
  <c r="B8" i="49"/>
  <c r="B4" i="49"/>
  <c r="E5" i="49"/>
  <c r="E10" i="49"/>
  <c r="E8" i="49"/>
  <c r="E16" i="49"/>
  <c r="B9" i="49"/>
  <c r="B5" i="49"/>
  <c r="E22" i="49"/>
  <c r="B14" i="49"/>
  <c r="B7" i="49"/>
  <c r="B22" i="49"/>
  <c r="G9" i="78"/>
  <c r="C15" i="12"/>
  <c r="C12" i="12"/>
  <c r="Y7" i="1"/>
  <c r="C36" i="11"/>
  <c r="B6" i="70"/>
  <c r="F63" i="67"/>
  <c r="C62" i="67" s="1"/>
  <c r="C34" i="67"/>
  <c r="F66" i="67"/>
  <c r="F71" i="67"/>
  <c r="C27" i="67"/>
  <c r="B10" i="70"/>
  <c r="B2" i="35"/>
  <c r="B3" i="35" s="1"/>
  <c r="B20" i="31"/>
  <c r="B2" i="36"/>
  <c r="B3" i="36" s="1"/>
  <c r="B8" i="70"/>
  <c r="F69" i="67"/>
  <c r="F70" i="67"/>
  <c r="F68" i="67"/>
  <c r="L58" i="67"/>
  <c r="L59" i="67"/>
  <c r="N59" i="67"/>
  <c r="M59" i="67"/>
  <c r="M59" i="15"/>
  <c r="N59" i="15"/>
  <c r="L59" i="15"/>
  <c r="L58" i="15"/>
  <c r="L58" i="77"/>
  <c r="M59" i="77"/>
  <c r="L59" i="77"/>
  <c r="N59" i="77"/>
  <c r="C34" i="77"/>
  <c r="F63" i="77"/>
  <c r="C62" i="77" s="1"/>
  <c r="J20" i="67"/>
  <c r="F64" i="67"/>
  <c r="F65" i="67"/>
  <c r="Q71" i="15"/>
  <c r="F51" i="67"/>
  <c r="B11" i="70"/>
  <c r="J53" i="77"/>
  <c r="L60" i="77"/>
  <c r="J59" i="77"/>
  <c r="I54" i="77"/>
  <c r="L46" i="77"/>
  <c r="L56" i="77"/>
  <c r="L57" i="77"/>
  <c r="J57" i="77"/>
  <c r="J55" i="77" s="1"/>
  <c r="J58" i="77" s="1"/>
  <c r="Q50" i="77" s="1"/>
  <c r="J60" i="77"/>
  <c r="Q48" i="77" s="1"/>
  <c r="F68" i="77"/>
  <c r="L56" i="67"/>
  <c r="I54" i="67"/>
  <c r="J57" i="67"/>
  <c r="J55" i="67" s="1"/>
  <c r="J58" i="67" s="1"/>
  <c r="Q50" i="67" s="1"/>
  <c r="F50" i="67"/>
  <c r="M7" i="67"/>
  <c r="J6" i="67" s="1"/>
  <c r="C6" i="67"/>
  <c r="Q71" i="67"/>
  <c r="B12" i="70"/>
  <c r="B13" i="70"/>
  <c r="B9" i="70"/>
  <c r="J20" i="77"/>
  <c r="F51" i="77"/>
  <c r="J53" i="15"/>
  <c r="J59" i="15"/>
  <c r="J57" i="15"/>
  <c r="J55" i="15" s="1"/>
  <c r="J58" i="15" s="1"/>
  <c r="Q50" i="15" s="1"/>
  <c r="J60" i="15"/>
  <c r="Q48" i="15" s="1"/>
  <c r="L56" i="15"/>
  <c r="L57" i="15"/>
  <c r="I54" i="15"/>
  <c r="L60" i="15"/>
  <c r="F66" i="15"/>
  <c r="F65" i="15"/>
  <c r="F64" i="15"/>
  <c r="C27" i="15"/>
  <c r="B40" i="1"/>
  <c r="M7" i="15"/>
  <c r="J6" i="15" s="1"/>
  <c r="F50" i="15"/>
  <c r="C6" i="15"/>
  <c r="E20" i="43"/>
  <c r="Q71" i="77"/>
  <c r="F69" i="77"/>
  <c r="F66" i="77"/>
  <c r="F65" i="77"/>
  <c r="F64" i="77"/>
  <c r="M7" i="77"/>
  <c r="J6" i="77" s="1"/>
  <c r="F50" i="77"/>
  <c r="C6" i="77"/>
  <c r="C27" i="77"/>
  <c r="F71" i="77"/>
  <c r="C15" i="77"/>
  <c r="C19" i="77"/>
  <c r="C18" i="77"/>
  <c r="F68" i="15"/>
  <c r="F71" i="15"/>
  <c r="I1" i="73"/>
  <c r="B39" i="1" s="1"/>
  <c r="F51" i="15"/>
  <c r="C16" i="77"/>
  <c r="F13" i="15"/>
  <c r="C16" i="15"/>
  <c r="C17" i="77"/>
  <c r="C17" i="67"/>
  <c r="C16" i="67"/>
  <c r="C14" i="67"/>
  <c r="D103" i="43" l="1"/>
  <c r="N102" i="43"/>
  <c r="N105" i="43"/>
  <c r="N104" i="43"/>
  <c r="N107" i="43"/>
  <c r="N109" i="43"/>
  <c r="N103" i="43"/>
  <c r="N106" i="43"/>
  <c r="M109" i="43"/>
  <c r="M106" i="43"/>
  <c r="J104" i="43"/>
  <c r="J107" i="43"/>
  <c r="J102" i="43"/>
  <c r="J105" i="43"/>
  <c r="J103" i="43"/>
  <c r="J106" i="43"/>
  <c r="J109" i="43"/>
  <c r="F104" i="43"/>
  <c r="F102" i="43"/>
  <c r="F103" i="43"/>
  <c r="F105" i="43"/>
  <c r="F107" i="43"/>
  <c r="F106" i="43"/>
  <c r="F109" i="43"/>
  <c r="D109" i="43"/>
  <c r="D104" i="43"/>
  <c r="D106" i="43"/>
  <c r="D102" i="43"/>
  <c r="D105" i="43"/>
  <c r="M105" i="43"/>
  <c r="D22" i="43"/>
  <c r="C21" i="43" s="1"/>
  <c r="M102" i="43"/>
  <c r="M107" i="43"/>
  <c r="I109" i="43"/>
  <c r="I107" i="43"/>
  <c r="I102" i="43"/>
  <c r="L109" i="43"/>
  <c r="L102" i="43"/>
  <c r="L104" i="43"/>
  <c r="L107" i="43"/>
  <c r="C104" i="43"/>
  <c r="C106" i="43"/>
  <c r="C107" i="43"/>
  <c r="C103" i="43"/>
  <c r="C109" i="43"/>
  <c r="C105" i="43"/>
  <c r="C102" i="43"/>
  <c r="K103" i="43"/>
  <c r="K102" i="43"/>
  <c r="K105" i="43"/>
  <c r="K107" i="43"/>
  <c r="K104" i="43"/>
  <c r="K106" i="43"/>
  <c r="K109" i="43"/>
  <c r="E104" i="43"/>
  <c r="E103" i="43"/>
  <c r="E105" i="43"/>
  <c r="E109" i="43"/>
  <c r="H104" i="43"/>
  <c r="H102" i="43"/>
  <c r="H109" i="43"/>
  <c r="H103" i="43"/>
  <c r="H105" i="43"/>
  <c r="H107" i="43"/>
  <c r="G105" i="43"/>
  <c r="G107" i="43"/>
  <c r="G104" i="43"/>
  <c r="G106" i="43"/>
  <c r="G102" i="43"/>
  <c r="G103" i="43"/>
  <c r="G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I118" i="43"/>
  <c r="J118" i="43" s="1"/>
  <c r="K118" i="43" s="1"/>
  <c r="L118" i="43" s="1"/>
  <c r="M118" i="43" s="1"/>
  <c r="D118" i="43"/>
  <c r="E118" i="43" s="1"/>
  <c r="F118" i="43" s="1"/>
  <c r="B117" i="43"/>
  <c r="C117" i="43" s="1"/>
  <c r="D115" i="43"/>
  <c r="E115" i="43" s="1"/>
  <c r="F115" i="43" s="1"/>
  <c r="G115" i="43" s="1"/>
  <c r="H115" i="43" s="1"/>
  <c r="F27" i="68"/>
  <c r="F27" i="69"/>
  <c r="F28" i="12"/>
  <c r="C29" i="12" s="1"/>
  <c r="D28" i="12" s="1"/>
  <c r="F27" i="11"/>
  <c r="M20" i="6"/>
  <c r="I20" i="6" s="1"/>
  <c r="S20" i="6" s="1"/>
  <c r="S7" i="1"/>
  <c r="M14" i="1"/>
  <c r="K16" i="1"/>
  <c r="C34" i="69"/>
  <c r="AY6" i="3"/>
  <c r="E3" i="6"/>
  <c r="E66" i="39"/>
  <c r="F56" i="39"/>
  <c r="F66" i="39" s="1"/>
  <c r="B2" i="39" s="1"/>
  <c r="B3" i="39" s="1"/>
  <c r="M19" i="6"/>
  <c r="S2" i="43"/>
  <c r="S5" i="43"/>
  <c r="S6" i="43"/>
  <c r="S3" i="43"/>
  <c r="S4" i="43"/>
  <c r="S7" i="43"/>
  <c r="C23" i="43"/>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4" i="4"/>
  <c r="B46" i="48" s="1"/>
  <c r="B4" i="72" s="1"/>
  <c r="C49" i="15"/>
  <c r="C18" i="67"/>
  <c r="C15" i="67"/>
  <c r="M11" i="15"/>
  <c r="J10" i="15" s="1"/>
  <c r="J5" i="15" s="1"/>
  <c r="F11" i="15"/>
  <c r="C53" i="15" s="1"/>
  <c r="F11" i="77"/>
  <c r="C53" i="77" s="1"/>
  <c r="F11" i="67"/>
  <c r="M11" i="77"/>
  <c r="J10" i="77" s="1"/>
  <c r="J5" i="77" s="1"/>
  <c r="M11" i="67"/>
  <c r="J10" i="67" s="1"/>
  <c r="J5" i="67" s="1"/>
  <c r="Q57" i="15"/>
  <c r="Q66" i="15"/>
  <c r="C49" i="77"/>
  <c r="Q57" i="77"/>
  <c r="Q66" i="77"/>
  <c r="F1" i="77"/>
  <c r="Q52" i="77"/>
  <c r="C49" i="67"/>
  <c r="Q73" i="15"/>
  <c r="Q60" i="15"/>
  <c r="Q74" i="67"/>
  <c r="Q61" i="67"/>
  <c r="C20" i="77"/>
  <c r="C26" i="77" s="1"/>
  <c r="P17" i="43"/>
  <c r="O17" i="43"/>
  <c r="M17" i="43"/>
  <c r="N17" i="43"/>
  <c r="F24" i="15"/>
  <c r="C24" i="15" s="1"/>
  <c r="F22" i="68"/>
  <c r="F24" i="77"/>
  <c r="C24" i="77" s="1"/>
  <c r="F22" i="11"/>
  <c r="F22" i="69"/>
  <c r="F24" i="67"/>
  <c r="C24" i="67" s="1"/>
  <c r="F25" i="12"/>
  <c r="C26" i="12" s="1"/>
  <c r="D25" i="12" s="1"/>
  <c r="L46" i="15"/>
  <c r="F1" i="15"/>
  <c r="Q52" i="15"/>
  <c r="Q61" i="77"/>
  <c r="Q74" i="77"/>
  <c r="Q73" i="77"/>
  <c r="Q60" i="77"/>
  <c r="Q61" i="15"/>
  <c r="Q74" i="15"/>
  <c r="Q60" i="67"/>
  <c r="Q73" i="67"/>
  <c r="C17" i="15"/>
  <c r="AE7" i="1"/>
  <c r="C10" i="77" l="1"/>
  <c r="C5" i="77" s="1"/>
  <c r="K27" i="6"/>
  <c r="C115" i="43"/>
  <c r="D113" i="43" s="1"/>
  <c r="C47" i="11"/>
  <c r="D45" i="11" s="1"/>
  <c r="C29" i="11"/>
  <c r="D27" i="11" s="1"/>
  <c r="C47" i="69"/>
  <c r="D45" i="69" s="1"/>
  <c r="C29" i="69"/>
  <c r="D27" i="69" s="1"/>
  <c r="C29" i="68"/>
  <c r="D27" i="68" s="1"/>
  <c r="C47" i="68"/>
  <c r="D45" i="68" s="1"/>
  <c r="D3" i="6"/>
  <c r="AY103" i="3"/>
  <c r="AY98" i="3"/>
  <c r="AY67" i="3"/>
  <c r="AY82" i="3"/>
  <c r="AY50" i="3"/>
  <c r="AY18" i="3"/>
  <c r="AY196" i="3"/>
  <c r="AY191" i="3"/>
  <c r="AY87" i="3"/>
  <c r="AY51" i="3"/>
  <c r="AY34" i="3"/>
  <c r="AY207"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66"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83" i="3"/>
  <c r="AY23"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274" i="3"/>
  <c r="AY377" i="3"/>
  <c r="AY317" i="3"/>
  <c r="AY491" i="3"/>
  <c r="AY457" i="3"/>
  <c r="AY414" i="3"/>
  <c r="AY581" i="3"/>
  <c r="AY561" i="3"/>
  <c r="AY546" i="3"/>
  <c r="AY16" i="3"/>
  <c r="AY494"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0" i="3"/>
  <c r="AY349" i="3"/>
  <c r="AY332" i="3"/>
  <c r="AY488" i="3"/>
  <c r="AY446" i="3"/>
  <c r="AY427" i="3"/>
  <c r="BM6" i="3"/>
  <c r="BF6" i="3"/>
  <c r="AY510" i="3"/>
  <c r="AY58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0"/>
  <c r="E2" i="70" s="1"/>
  <c r="AR7" i="1"/>
  <c r="T7" i="1"/>
  <c r="AQ7" i="1"/>
  <c r="S16" i="1"/>
  <c r="I19" i="6"/>
  <c r="M27" i="6"/>
  <c r="D3" i="21"/>
  <c r="B2" i="21" s="1"/>
  <c r="B3" i="21" s="1"/>
  <c r="D19" i="11"/>
  <c r="C19" i="11" s="1"/>
  <c r="C24" i="11" s="1"/>
  <c r="D37" i="11"/>
  <c r="C37" i="11" s="1"/>
  <c r="D14" i="12"/>
  <c r="E6" i="6"/>
  <c r="M18" i="9"/>
  <c r="B118" i="9" s="1"/>
  <c r="B14" i="74" s="1"/>
  <c r="B1" i="74" s="1"/>
  <c r="D3" i="33"/>
  <c r="B2" i="33" s="1"/>
  <c r="B3" i="33" s="1"/>
  <c r="C17" i="4"/>
  <c r="B4" i="52" s="1"/>
  <c r="B43" i="72" s="1"/>
  <c r="L18" i="9"/>
  <c r="D3" i="34"/>
  <c r="B2" i="34" s="1"/>
  <c r="B3" i="34" s="1"/>
  <c r="D3" i="37"/>
  <c r="B2" i="37" s="1"/>
  <c r="B3" i="37" s="1"/>
  <c r="C38" i="69"/>
  <c r="C35" i="69"/>
  <c r="T16" i="1"/>
  <c r="M16" i="1"/>
  <c r="C48" i="15"/>
  <c r="C66" i="15" s="1"/>
  <c r="C48" i="77"/>
  <c r="C66" i="77" s="1"/>
  <c r="C10" i="15"/>
  <c r="C5" i="15" s="1"/>
  <c r="C38" i="15" s="1"/>
  <c r="C19" i="67"/>
  <c r="C20" i="67" s="1"/>
  <c r="J18" i="77"/>
  <c r="J24" i="77"/>
  <c r="J26" i="77"/>
  <c r="J29" i="77" s="1"/>
  <c r="J26" i="15"/>
  <c r="J24" i="15"/>
  <c r="J18" i="15"/>
  <c r="J24" i="67"/>
  <c r="J18" i="67"/>
  <c r="J26" i="67"/>
  <c r="J29" i="67" s="1"/>
  <c r="C26" i="69"/>
  <c r="D22" i="69" s="1"/>
  <c r="C44" i="69"/>
  <c r="D41" i="69" s="1"/>
  <c r="H7" i="1"/>
  <c r="G20" i="43"/>
  <c r="C20" i="43" s="1"/>
  <c r="C32" i="77"/>
  <c r="C33" i="77"/>
  <c r="C38" i="77"/>
  <c r="C10" i="67"/>
  <c r="C5" i="67" s="1"/>
  <c r="C53" i="67"/>
  <c r="C48" i="67" s="1"/>
  <c r="C26" i="11"/>
  <c r="D22" i="11" s="1"/>
  <c r="C44" i="11"/>
  <c r="D41" i="11" s="1"/>
  <c r="C23" i="11"/>
  <c r="C44" i="68"/>
  <c r="D41" i="68" s="1"/>
  <c r="C24" i="68"/>
  <c r="C26" i="68"/>
  <c r="D22" i="68" s="1"/>
  <c r="C23" i="77"/>
  <c r="C29" i="77" s="1"/>
  <c r="C60" i="77"/>
  <c r="F41" i="15"/>
  <c r="C14" i="15"/>
  <c r="C60" i="15" l="1"/>
  <c r="C15" i="15"/>
  <c r="C18" i="15"/>
  <c r="D29" i="43"/>
  <c r="D1" i="43" s="1"/>
  <c r="D10" i="68"/>
  <c r="D10" i="11"/>
  <c r="C10" i="11" s="1"/>
  <c r="D20" i="12"/>
  <c r="C20" i="12" s="1"/>
  <c r="C18" i="12" s="1"/>
  <c r="D10" i="69"/>
  <c r="L16" i="1"/>
  <c r="C34" i="11"/>
  <c r="C34" i="68"/>
  <c r="N16" i="1"/>
  <c r="C7" i="74"/>
  <c r="C8" i="74"/>
  <c r="D17" i="12"/>
  <c r="C17" i="12" s="1"/>
  <c r="C14" i="12"/>
  <c r="C16" i="12" s="1"/>
  <c r="C20" i="11"/>
  <c r="C25" i="11" s="1"/>
  <c r="C28" i="11"/>
  <c r="C27" i="11" s="1"/>
  <c r="D20" i="6"/>
  <c r="H20" i="6"/>
  <c r="M19" i="9"/>
  <c r="C118" i="9" s="1"/>
  <c r="C14" i="74" s="1"/>
  <c r="B2" i="74" s="1"/>
  <c r="D19" i="6"/>
  <c r="H19" i="6"/>
  <c r="D25" i="6"/>
  <c r="D15" i="6"/>
  <c r="D22" i="6"/>
  <c r="D21" i="6"/>
  <c r="D24" i="6"/>
  <c r="D5" i="6"/>
  <c r="D12" i="6"/>
  <c r="D11" i="6"/>
  <c r="D13" i="6"/>
  <c r="D28" i="6"/>
  <c r="E61" i="40"/>
  <c r="F61" i="40" s="1"/>
  <c r="B2" i="40" s="1"/>
  <c r="B3" i="40" s="1"/>
  <c r="H23" i="6"/>
  <c r="H26" i="6"/>
  <c r="D26" i="6"/>
  <c r="C18" i="4"/>
  <c r="D8" i="6"/>
  <c r="D23" i="6"/>
  <c r="D14" i="6"/>
  <c r="D6" i="6"/>
  <c r="D9" i="6"/>
  <c r="D10" i="6"/>
  <c r="L19" i="9"/>
  <c r="D29" i="6"/>
  <c r="H25" i="6"/>
  <c r="H22" i="6"/>
  <c r="H21" i="6"/>
  <c r="H24" i="6"/>
  <c r="I27" i="6"/>
  <c r="S19" i="6"/>
  <c r="S27" i="6" s="1"/>
  <c r="C32" i="15"/>
  <c r="F69" i="15"/>
  <c r="J29" i="15"/>
  <c r="C33" i="15"/>
  <c r="C22" i="11"/>
  <c r="C31" i="77"/>
  <c r="C60" i="67"/>
  <c r="C66" i="67"/>
  <c r="J19" i="77"/>
  <c r="C36" i="77"/>
  <c r="C57" i="77"/>
  <c r="Q49" i="77"/>
  <c r="J14" i="77"/>
  <c r="C13" i="77"/>
  <c r="C29" i="43"/>
  <c r="C38" i="43"/>
  <c r="C35" i="43"/>
  <c r="C39" i="43"/>
  <c r="C37" i="43"/>
  <c r="C33" i="43"/>
  <c r="T16" i="43"/>
  <c r="V16" i="43" s="1"/>
  <c r="T12" i="43"/>
  <c r="V12" i="43" s="1"/>
  <c r="T3" i="43"/>
  <c r="V3" i="43" s="1"/>
  <c r="T2" i="43"/>
  <c r="V2" i="43" s="1"/>
  <c r="T15" i="43"/>
  <c r="V15" i="43" s="1"/>
  <c r="T10" i="43"/>
  <c r="V10" i="43" s="1"/>
  <c r="T6" i="43"/>
  <c r="V6" i="43" s="1"/>
  <c r="C36" i="43"/>
  <c r="C34" i="43"/>
  <c r="T11" i="43"/>
  <c r="V11" i="43" s="1"/>
  <c r="T14" i="43"/>
  <c r="V14" i="43" s="1"/>
  <c r="T9" i="43"/>
  <c r="V9" i="43" s="1"/>
  <c r="T7" i="43"/>
  <c r="V7" i="43" s="1"/>
  <c r="T8" i="43"/>
  <c r="V8" i="43" s="1"/>
  <c r="T13" i="43"/>
  <c r="V13" i="43" s="1"/>
  <c r="T5" i="43"/>
  <c r="V5" i="43" s="1"/>
  <c r="T4" i="43"/>
  <c r="V4" i="43" s="1"/>
  <c r="C23" i="67"/>
  <c r="J17" i="77"/>
  <c r="C32" i="67"/>
  <c r="C38" i="67"/>
  <c r="G7" i="1"/>
  <c r="G16" i="1" s="1"/>
  <c r="H16" i="1"/>
  <c r="C26" i="67"/>
  <c r="C19" i="15" l="1"/>
  <c r="C20" i="15" s="1"/>
  <c r="C23" i="15" s="1"/>
  <c r="H27" i="6"/>
  <c r="R23" i="6"/>
  <c r="R25" i="6"/>
  <c r="C21" i="12"/>
  <c r="C22" i="12" s="1"/>
  <c r="C30" i="12" s="1"/>
  <c r="C28" i="12" s="1"/>
  <c r="C31" i="11"/>
  <c r="A7" i="51"/>
  <c r="B7" i="72" s="1"/>
  <c r="A10" i="51"/>
  <c r="B9" i="72" s="1"/>
  <c r="C4" i="52"/>
  <c r="B45" i="72" s="1"/>
  <c r="R24" i="6"/>
  <c r="R22" i="6"/>
  <c r="R19" i="6"/>
  <c r="D27" i="6"/>
  <c r="F50" i="68"/>
  <c r="F50" i="69"/>
  <c r="F50" i="11"/>
  <c r="C38" i="11"/>
  <c r="C35" i="11"/>
  <c r="D19" i="69"/>
  <c r="C10" i="69"/>
  <c r="C8" i="69" s="1"/>
  <c r="C5" i="69" s="1"/>
  <c r="D16" i="6"/>
  <c r="R26" i="6"/>
  <c r="D30" i="6"/>
  <c r="R21" i="6"/>
  <c r="D8" i="74"/>
  <c r="D7" i="74"/>
  <c r="R20" i="6"/>
  <c r="R7" i="1" s="1"/>
  <c r="C35" i="68"/>
  <c r="C38" i="68"/>
  <c r="C10" i="68"/>
  <c r="D19" i="68"/>
  <c r="D37" i="68" s="1"/>
  <c r="C37" i="68" s="1"/>
  <c r="C29" i="67"/>
  <c r="C13" i="67" s="1"/>
  <c r="J10" i="40"/>
  <c r="F10" i="40"/>
  <c r="H10" i="39"/>
  <c r="F10" i="39"/>
  <c r="J10" i="39"/>
  <c r="H10" i="40"/>
  <c r="G34" i="43"/>
  <c r="I34" i="43" s="1"/>
  <c r="E34" i="43"/>
  <c r="G37" i="43"/>
  <c r="I37" i="43" s="1"/>
  <c r="E37" i="43"/>
  <c r="E35" i="43"/>
  <c r="G35" i="43"/>
  <c r="I35" i="43" s="1"/>
  <c r="E29" i="43"/>
  <c r="L32" i="43"/>
  <c r="L33" i="43" s="1"/>
  <c r="C30" i="43"/>
  <c r="E30" i="43" s="1"/>
  <c r="J13" i="77"/>
  <c r="J23" i="77" s="1"/>
  <c r="J22" i="77"/>
  <c r="C61" i="77"/>
  <c r="C59" i="77" s="1"/>
  <c r="C64" i="77"/>
  <c r="G36" i="43"/>
  <c r="I36" i="43" s="1"/>
  <c r="E36" i="43"/>
  <c r="G33" i="43"/>
  <c r="I33" i="43" s="1"/>
  <c r="E33" i="43"/>
  <c r="G39" i="43"/>
  <c r="I39" i="43" s="1"/>
  <c r="E39" i="43"/>
  <c r="G38" i="43"/>
  <c r="I38" i="43" s="1"/>
  <c r="E38" i="43"/>
  <c r="C37" i="77"/>
  <c r="C30" i="77" s="1"/>
  <c r="C39" i="77" s="1"/>
  <c r="C56" i="77"/>
  <c r="C65" i="77" s="1"/>
  <c r="C75" i="77"/>
  <c r="Q70" i="77"/>
  <c r="M21" i="15"/>
  <c r="F35" i="15"/>
  <c r="C33" i="68" l="1"/>
  <c r="C39" i="68" s="1"/>
  <c r="C33" i="11"/>
  <c r="C26" i="15"/>
  <c r="C29" i="15" s="1"/>
  <c r="R27" i="6"/>
  <c r="C27" i="12"/>
  <c r="C25" i="12" s="1"/>
  <c r="C32" i="12" s="1"/>
  <c r="B2" i="12" s="1"/>
  <c r="B3" i="12" s="1"/>
  <c r="D31" i="6"/>
  <c r="F63" i="15"/>
  <c r="C62" i="15" s="1"/>
  <c r="C34" i="15"/>
  <c r="C31" i="15" s="1"/>
  <c r="J20" i="15"/>
  <c r="R16" i="1"/>
  <c r="C19" i="69"/>
  <c r="C24" i="69" s="1"/>
  <c r="D37" i="69"/>
  <c r="C37" i="69" s="1"/>
  <c r="C33" i="69" s="1"/>
  <c r="C23" i="69"/>
  <c r="C39" i="11"/>
  <c r="C42" i="11"/>
  <c r="I6" i="6"/>
  <c r="I5" i="6"/>
  <c r="J59" i="67"/>
  <c r="J60" i="67" s="1"/>
  <c r="Q48" i="67" s="1"/>
  <c r="J14" i="67"/>
  <c r="J13" i="67" s="1"/>
  <c r="J23" i="67" s="1"/>
  <c r="C33" i="67"/>
  <c r="C31" i="67" s="1"/>
  <c r="J19" i="67"/>
  <c r="J17" i="67" s="1"/>
  <c r="C57" i="67"/>
  <c r="C61" i="67" s="1"/>
  <c r="C59" i="67" s="1"/>
  <c r="Q49" i="67"/>
  <c r="C36" i="67"/>
  <c r="C80" i="77"/>
  <c r="C79" i="77" s="1"/>
  <c r="J16" i="77"/>
  <c r="J25" i="77" s="1"/>
  <c r="C58" i="77"/>
  <c r="C67" i="77" s="1"/>
  <c r="C68" i="77" s="1"/>
  <c r="U10" i="40"/>
  <c r="AB10" i="40"/>
  <c r="S10" i="39"/>
  <c r="AA10" i="39"/>
  <c r="S10" i="40"/>
  <c r="AA10" i="40"/>
  <c r="Q69" i="77"/>
  <c r="Q68" i="77" s="1"/>
  <c r="C40" i="77"/>
  <c r="C27" i="43"/>
  <c r="C6" i="68"/>
  <c r="C26" i="43"/>
  <c r="AC10" i="39"/>
  <c r="W10" i="39"/>
  <c r="AB10" i="39"/>
  <c r="U10" i="39"/>
  <c r="AC10" i="40"/>
  <c r="W10" i="40"/>
  <c r="Q70" i="67"/>
  <c r="C56" i="67"/>
  <c r="C65" i="67" s="1"/>
  <c r="C37" i="67"/>
  <c r="C75" i="67"/>
  <c r="E6" i="76"/>
  <c r="L51" i="77"/>
  <c r="C42" i="68" l="1"/>
  <c r="C36" i="15"/>
  <c r="J19" i="15"/>
  <c r="J17" i="15" s="1"/>
  <c r="C57" i="15"/>
  <c r="Q49" i="15"/>
  <c r="C13" i="15"/>
  <c r="J14" i="15"/>
  <c r="C20" i="69"/>
  <c r="C25" i="69" s="1"/>
  <c r="C22" i="69" s="1"/>
  <c r="C46" i="11"/>
  <c r="C45" i="11" s="1"/>
  <c r="C43" i="11"/>
  <c r="C41" i="11" s="1"/>
  <c r="C46" i="68"/>
  <c r="C45" i="68" s="1"/>
  <c r="C43" i="68"/>
  <c r="C39" i="69"/>
  <c r="C42" i="69"/>
  <c r="L46" i="67"/>
  <c r="J22" i="67"/>
  <c r="J16" i="67" s="1"/>
  <c r="J25" i="67" s="1"/>
  <c r="C64" i="67"/>
  <c r="C58" i="67" s="1"/>
  <c r="C67" i="67" s="1"/>
  <c r="C68" i="67" s="1"/>
  <c r="C30" i="67"/>
  <c r="C39" i="67" s="1"/>
  <c r="Q69" i="67" s="1"/>
  <c r="Q68" i="67" s="1"/>
  <c r="E2" i="76"/>
  <c r="Q67" i="77"/>
  <c r="B2" i="43"/>
  <c r="C71" i="77"/>
  <c r="C46" i="77"/>
  <c r="C7" i="68"/>
  <c r="C5" i="68" s="1"/>
  <c r="B2" i="77"/>
  <c r="B3" i="77" s="1"/>
  <c r="Q65" i="77"/>
  <c r="Q75" i="77" s="1"/>
  <c r="Q56" i="77"/>
  <c r="Q62" i="77" s="1"/>
  <c r="C43" i="77"/>
  <c r="Q47" i="77"/>
  <c r="Q53" i="77" s="1"/>
  <c r="C83" i="77"/>
  <c r="C82" i="77" s="1"/>
  <c r="B6" i="76"/>
  <c r="C41" i="68" l="1"/>
  <c r="C40" i="67"/>
  <c r="C45" i="67" s="1"/>
  <c r="C46" i="67" s="1"/>
  <c r="C28" i="69"/>
  <c r="C27" i="69" s="1"/>
  <c r="C31" i="69" s="1"/>
  <c r="C56" i="15"/>
  <c r="C65" i="15" s="1"/>
  <c r="Q70" i="15"/>
  <c r="C37" i="15"/>
  <c r="C30" i="15" s="1"/>
  <c r="C39" i="15" s="1"/>
  <c r="C75" i="15"/>
  <c r="C61" i="15"/>
  <c r="C59" i="15" s="1"/>
  <c r="C64" i="15"/>
  <c r="J13" i="15"/>
  <c r="J23" i="15" s="1"/>
  <c r="J22" i="15"/>
  <c r="C49" i="11"/>
  <c r="C51" i="11" s="1"/>
  <c r="C52" i="11" s="1"/>
  <c r="B2" i="11" s="1"/>
  <c r="B3" i="11" s="1"/>
  <c r="C49" i="68"/>
  <c r="C51" i="68" s="1"/>
  <c r="C46" i="69"/>
  <c r="C45" i="69" s="1"/>
  <c r="C43" i="69"/>
  <c r="C41" i="69" s="1"/>
  <c r="C80" i="67"/>
  <c r="C79" i="67" s="1"/>
  <c r="B2" i="76"/>
  <c r="B3" i="76" s="1"/>
  <c r="C20" i="68"/>
  <c r="C25" i="68" s="1"/>
  <c r="C23" i="68"/>
  <c r="C71" i="67"/>
  <c r="B3" i="43"/>
  <c r="Q56" i="67"/>
  <c r="D2" i="67"/>
  <c r="C83" i="67"/>
  <c r="C82" i="67" s="1"/>
  <c r="L51" i="15"/>
  <c r="L51" i="67"/>
  <c r="C43" i="67" l="1"/>
  <c r="Q47" i="67"/>
  <c r="Q53" i="67" s="1"/>
  <c r="Q65" i="67"/>
  <c r="J16" i="15"/>
  <c r="J25" i="15" s="1"/>
  <c r="C80" i="15"/>
  <c r="C79" i="15" s="1"/>
  <c r="Q67" i="15"/>
  <c r="C58" i="15"/>
  <c r="C67" i="15" s="1"/>
  <c r="C68" i="15" s="1"/>
  <c r="Q69" i="15"/>
  <c r="Q68" i="15" s="1"/>
  <c r="C40" i="15"/>
  <c r="C28" i="68"/>
  <c r="C27" i="68" s="1"/>
  <c r="C56" i="11"/>
  <c r="C57" i="11" s="1"/>
  <c r="C49" i="69"/>
  <c r="C51" i="69" s="1"/>
  <c r="Q67" i="67"/>
  <c r="L57" i="67"/>
  <c r="L60" i="67" s="1"/>
  <c r="Q66" i="67" s="1"/>
  <c r="C22" i="68"/>
  <c r="B3" i="67"/>
  <c r="B2" i="67"/>
  <c r="Q57" i="67" l="1"/>
  <c r="Q62" i="67" s="1"/>
  <c r="Q75" i="67"/>
  <c r="B2" i="15"/>
  <c r="Q47" i="15"/>
  <c r="Q53" i="15" s="1"/>
  <c r="C43" i="15"/>
  <c r="Q65" i="15"/>
  <c r="Q75" i="15" s="1"/>
  <c r="Q56" i="15"/>
  <c r="Q62" i="15" s="1"/>
  <c r="C83" i="15"/>
  <c r="C82" i="15" s="1"/>
  <c r="C46" i="15"/>
  <c r="C71" i="15"/>
  <c r="C31" i="68"/>
  <c r="C52" i="68" s="1"/>
  <c r="B2" i="68" s="1"/>
  <c r="B3" i="68" s="1"/>
  <c r="C52" i="69"/>
  <c r="B2" i="69" s="1"/>
  <c r="B3" i="69" s="1"/>
  <c r="C19" i="9"/>
  <c r="D20" i="9"/>
  <c r="AO7" i="1"/>
  <c r="D19" i="9"/>
  <c r="C57" i="68" l="1"/>
  <c r="C102" i="9"/>
  <c r="C21" i="9"/>
  <c r="B7" i="70"/>
  <c r="B2" i="70" s="1"/>
  <c r="B3" i="70" s="1"/>
  <c r="B3" i="15"/>
  <c r="C57" i="69"/>
  <c r="C56" i="69" s="1"/>
  <c r="D102" i="9"/>
  <c r="G19" i="9"/>
  <c r="C32" i="9" s="1"/>
  <c r="D21" i="9"/>
  <c r="D22" i="9"/>
  <c r="D103" i="9"/>
  <c r="D35" i="9"/>
  <c r="C20" i="9"/>
  <c r="C56" i="68" l="1"/>
  <c r="C103" i="9"/>
  <c r="G20" i="9"/>
  <c r="G21" i="9"/>
  <c r="C35" i="9"/>
  <c r="F118" i="9" s="1"/>
  <c r="H118" i="9"/>
  <c r="D34" i="9"/>
  <c r="C34" i="9" l="1"/>
  <c r="D118" i="9" s="1"/>
  <c r="C104" i="9"/>
  <c r="D14" i="74"/>
  <c r="I118" i="9"/>
  <c r="H101" i="9"/>
  <c r="H119" i="9"/>
  <c r="H5" i="52" s="1"/>
  <c r="H4" i="52"/>
  <c r="F4" i="52"/>
  <c r="B51" i="72" s="1"/>
  <c r="G118" i="9"/>
  <c r="G4" i="52" s="1"/>
  <c r="B52" i="72" s="1"/>
  <c r="F119" i="9"/>
  <c r="F5" i="52" s="1"/>
  <c r="B53" i="72" s="1"/>
  <c r="C105" i="9" l="1"/>
  <c r="H102" i="9"/>
  <c r="D7" i="53" s="1"/>
  <c r="B21" i="72" s="1"/>
  <c r="I4" i="52"/>
  <c r="E118" i="9"/>
  <c r="E4" i="52" s="1"/>
  <c r="B48" i="72" s="1"/>
  <c r="M48" i="9"/>
  <c r="H107" i="9"/>
  <c r="D5" i="53"/>
  <c r="D45" i="9"/>
  <c r="B5" i="74"/>
  <c r="E14" i="74"/>
  <c r="F14" i="74"/>
  <c r="J118" i="9"/>
  <c r="D119" i="9"/>
  <c r="D5" i="52" s="1"/>
  <c r="B49" i="72" s="1"/>
  <c r="D4" i="52"/>
  <c r="B47" i="72" s="1"/>
  <c r="D53" i="9" l="1"/>
  <c r="C93" i="9"/>
  <c r="C86" i="9" s="1"/>
  <c r="D52" i="9"/>
  <c r="C72" i="9"/>
  <c r="C78" i="9"/>
  <c r="C73" i="9" s="1"/>
  <c r="D55" i="9"/>
  <c r="M53" i="9" s="1"/>
  <c r="C85" i="9"/>
  <c r="C64" i="9"/>
  <c r="C63" i="9" s="1"/>
  <c r="C67" i="9" s="1"/>
  <c r="C68" i="9" s="1"/>
  <c r="D54" i="9" s="1"/>
  <c r="D122" i="9"/>
  <c r="D13" i="53"/>
  <c r="H108" i="9"/>
  <c r="D15" i="53" s="1"/>
  <c r="B31" i="72" s="1"/>
  <c r="C5" i="74"/>
  <c r="D5" i="74"/>
  <c r="B20" i="72"/>
  <c r="D6" i="53"/>
  <c r="B22" i="72" s="1"/>
  <c r="C95" i="9" l="1"/>
  <c r="C96" i="9" s="1"/>
  <c r="E96" i="9" s="1"/>
  <c r="E97" i="9" s="1"/>
  <c r="C79" i="9"/>
  <c r="C80" i="9" s="1"/>
  <c r="D14" i="53"/>
  <c r="B32" i="72" s="1"/>
  <c r="B30" i="72"/>
  <c r="G14" i="74"/>
  <c r="B6" i="74" s="1"/>
  <c r="D123" i="9"/>
  <c r="D9" i="52" s="1"/>
  <c r="D8" i="52"/>
  <c r="E80" i="9" l="1"/>
  <c r="E81" i="9" s="1"/>
  <c r="C81" i="9"/>
  <c r="C97" i="9"/>
  <c r="D58" i="9" s="1"/>
  <c r="D56" i="9" s="1"/>
  <c r="M54" i="9" s="1"/>
  <c r="N57" i="9" s="1"/>
  <c r="D6" i="74"/>
  <c r="C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<sst xmlns="http://schemas.openxmlformats.org/spreadsheetml/2006/main" count="7745" uniqueCount="3109">
  <si>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</si>
  <si>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</si>
  <si>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</si>
  <si>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</si>
  <si>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</si>
  <si>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</si>
  <si>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</si>
  <si>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</si>
  <si>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</si>
  <si>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</si>
  <si>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</si>
  <si>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</si>
  <si>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</si>
  <si>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</si>
  <si>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</si>
  <si>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</si>
  <si>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</si>
  <si>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</si>
  <si>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</si>
  <si>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</si>
  <si>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</si>
  <si>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</si>
  <si>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</si>
  <si>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</si>
  <si>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</si>
  <si>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</si>
  <si>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</si>
  <si>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</si>
  <si>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</si>
  <si>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</si>
  <si>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</si>
  <si>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</si>
  <si>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</si>
  <si>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</si>
  <si>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</si>
  <si>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</si>
  <si>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</si>
  <si>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</si>
  <si>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</si>
  <si>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</si>
  <si>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</si>
  <si>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</si>
  <si>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</si>
  <si>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</si>
  <si>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</si>
  <si>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</si>
  <si>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</si>
  <si>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</si>
  <si>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</si>
  <si>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</si>
  <si>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</si>
  <si>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</si>
  <si>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</si>
  <si>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</si>
  <si>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</si>
  <si>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</si>
  <si>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</si>
  <si>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</si>
  <si>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</si>
  <si>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</si>
  <si>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</si>
  <si>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</si>
  <si>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</si>
  <si>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</si>
  <si>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</si>
  <si>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</si>
  <si>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</si>
  <si>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</si>
  <si>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</si>
  <si>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</si>
  <si>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</si>
  <si>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</si>
  <si>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</si>
  <si>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</si>
  <si>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</si>
  <si>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</si>
  <si>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</si>
  <si>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</si>
  <si>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</si>
  <si>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</si>
  <si>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</si>
  <si>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</si>
  <si>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</si>
  <si>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</si>
  <si>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</si>
  <si>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</si>
  <si>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</si>
  <si>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</si>
  <si>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</si>
  <si>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</si>
  <si>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</si>
  <si>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</si>
  <si>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</si>
  <si>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</si>
  <si>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</si>
  <si>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</si>
  <si>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</si>
  <si>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</si>
  <si>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</si>
  <si>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</si>
  <si>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</si>
  <si>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</si>
  <si>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</si>
  <si>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</si>
  <si>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</si>
  <si>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</si>
  <si>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</si>
  <si>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</si>
  <si>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</si>
  <si>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</si>
  <si>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</si>
  <si>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</si>
  <si>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</si>
  <si>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</si>
  <si>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</si>
  <si>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</si>
  <si>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</si>
  <si>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</si>
  <si>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</si>
  <si>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</si>
  <si>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</si>
  <si>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</si>
  <si>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</si>
  <si>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</si>
  <si>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</si>
  <si>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</si>
  <si>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</si>
  <si>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</si>
  <si>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</si>
  <si>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</si>
  <si>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</si>
  <si>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</si>
  <si>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</si>
  <si>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</si>
  <si>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</si>
  <si>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</si>
  <si>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</si>
  <si>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</si>
  <si>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</si>
  <si>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</si>
  <si>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</si>
  <si>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</si>
  <si>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</si>
  <si>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</si>
  <si>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</si>
  <si>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</si>
  <si>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</si>
  <si>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</si>
  <si>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</si>
  <si>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</si>
  <si>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</si>
  <si>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</si>
  <si>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</si>
  <si>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</si>
  <si>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</si>
  <si>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</si>
  <si>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</si>
  <si>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</si>
  <si>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</si>
  <si>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</si>
  <si>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</si>
  <si>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</si>
  <si>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</si>
  <si>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</si>
  <si>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</si>
  <si>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</si>
  <si>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</si>
  <si>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</si>
  <si>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</si>
  <si>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</si>
  <si>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</si>
  <si>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</si>
  <si>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</si>
  <si>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</si>
  <si>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</si>
  <si>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</si>
  <si>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</si>
  <si>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</si>
  <si>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</si>
  <si>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</si>
  <si>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</si>
  <si>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</si>
  <si>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</si>
  <si>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</si>
  <si>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</si>
  <si>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</si>
  <si>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</si>
  <si>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</si>
  <si>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</si>
  <si>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</si>
  <si>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</si>
  <si>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</si>
  <si>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</si>
  <si>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</si>
  <si>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</si>
  <si>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</si>
  <si>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</si>
  <si>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</si>
  <si>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</si>
  <si>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</si>
  <si>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</si>
  <si>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</si>
  <si>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</si>
  <si>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</si>
  <si>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</si>
  <si>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</si>
  <si>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</si>
  <si>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</si>
  <si>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</si>
  <si>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</si>
  <si>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</si>
  <si>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</si>
  <si>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</si>
  <si>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</si>
  <si>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</si>
  <si>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</si>
  <si>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</si>
  <si>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</si>
  <si>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</si>
  <si>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</si>
  <si>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</si>
  <si>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</si>
  <si>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</si>
  <si>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</si>
  <si>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</si>
  <si>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</si>
  <si>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</si>
  <si>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</si>
  <si>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</si>
  <si>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</si>
  <si>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</si>
  <si>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</si>
  <si>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</si>
  <si>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</si>
  <si>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</si>
  <si>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</si>
  <si>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</si>
  <si>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</si>
  <si>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</si>
  <si>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</si>
  <si>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</si>
  <si>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</si>
  <si>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</si>
  <si>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</si>
  <si>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</si>
  <si>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</si>
  <si>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</si>
  <si>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</si>
  <si>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</si>
  <si>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</si>
  <si>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</si>
  <si>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</si>
  <si>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</si>
  <si>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</si>
  <si>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</si>
  <si>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</si>
  <si>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</si>
  <si>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</si>
  <si>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</si>
  <si>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</si>
  <si>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</si>
  <si>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</si>
  <si>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</si>
  <si>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</si>
  <si>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</si>
  <si>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</si>
  <si>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</si>
  <si>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</si>
  <si>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</si>
  <si>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</si>
  <si>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</si>
  <si>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</si>
  <si>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</si>
  <si>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</si>
  <si>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</si>
  <si>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</si>
  <si>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</si>
  <si>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</si>
  <si>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</si>
  <si>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</si>
  <si>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</si>
  <si>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</si>
  <si>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</si>
  <si>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</si>
  <si>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</si>
  <si>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</si>
  <si>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</si>
  <si>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</si>
  <si>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</si>
  <si>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</si>
  <si>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</si>
  <si>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</si>
  <si>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</si>
  <si>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</si>
  <si>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</si>
  <si>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</si>
  <si>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</si>
  <si>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</si>
  <si>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</si>
  <si>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</si>
  <si>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</si>
  <si>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</si>
  <si>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</si>
  <si>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</si>
  <si>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</si>
  <si>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</si>
  <si>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</si>
  <si>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</si>
  <si>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</si>
  <si>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</si>
  <si>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</si>
  <si>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</si>
  <si>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</si>
  <si>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</si>
  <si>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</si>
  <si>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</si>
  <si>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</si>
  <si>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</si>
  <si>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</si>
  <si>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</si>
  <si>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</si>
  <si>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</si>
  <si>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</si>
  <si>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</si>
  <si>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</si>
  <si>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</si>
  <si>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</si>
  <si>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</si>
  <si>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</si>
  <si>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</si>
  <si>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</si>
  <si>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</si>
  <si>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</si>
  <si>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</si>
  <si>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</si>
  <si>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</si>
  <si>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</si>
  <si>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</si>
  <si>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</si>
  <si>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</si>
  <si>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</si>
  <si>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</si>
  <si>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</si>
  <si>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</si>
  <si>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</si>
  <si>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</si>
  <si>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</si>
  <si>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</si>
  <si>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</si>
  <si>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</si>
  <si>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</si>
  <si>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</si>
  <si>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</si>
  <si>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</si>
  <si>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</si>
  <si>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</si>
  <si>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</si>
  <si>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</si>
  <si>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</si>
  <si>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</si>
  <si>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</si>
  <si>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</si>
  <si>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</si>
  <si>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</si>
  <si>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</si>
  <si>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</si>
  <si>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</si>
  <si>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</si>
  <si>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</si>
  <si>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</si>
  <si>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</si>
  <si>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</si>
  <si>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</si>
  <si>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</si>
  <si>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</si>
  <si>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</si>
  <si>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</si>
  <si>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</si>
  <si>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</si>
  <si>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</si>
  <si>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</si>
  <si>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</si>
  <si>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</si>
  <si>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</si>
  <si>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</si>
  <si>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</si>
  <si>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</si>
  <si>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</si>
  <si>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</si>
  <si>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</si>
  <si>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</si>
  <si>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</si>
  <si>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</si>
  <si>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</si>
  <si>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</si>
  <si>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</si>
  <si>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</si>
  <si>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</si>
  <si>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</si>
  <si>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</si>
  <si>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</si>
  <si>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</si>
  <si>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</si>
  <si>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</si>
  <si>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</si>
  <si>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</si>
  <si>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</si>
  <si>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</si>
  <si>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</si>
  <si>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</si>
  <si>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</si>
  <si>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</si>
  <si>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</si>
  <si>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</si>
  <si>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</si>
  <si>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</si>
  <si>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</si>
  <si>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</si>
  <si>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</si>
  <si>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</si>
  <si>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</si>
  <si>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</si>
  <si>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</si>
  <si>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</si>
  <si>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</si>
  <si>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</si>
  <si>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</si>
  <si>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</si>
  <si>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</si>
  <si>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</si>
  <si>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</si>
  <si>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</si>
  <si>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</si>
  <si>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</si>
  <si>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</si>
  <si>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</si>
  <si>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</si>
  <si>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</si>
  <si>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</si>
  <si>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</si>
  <si>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</si>
  <si>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</si>
  <si>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</si>
  <si>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</si>
  <si>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</si>
  <si>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</si>
  <si>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</si>
  <si>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</si>
  <si>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</si>
  <si>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</si>
  <si>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</si>
  <si>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</si>
  <si>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</si>
  <si>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</si>
  <si>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</si>
  <si>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</si>
  <si>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</si>
  <si>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</si>
  <si>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</si>
  <si>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</si>
  <si>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</si>
  <si>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</si>
  <si>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</si>
  <si>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</si>
  <si>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</si>
  <si>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</si>
  <si>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</si>
  <si>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</si>
  <si>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</si>
  <si>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</si>
  <si>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</si>
  <si>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</si>
  <si>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</si>
  <si>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</si>
  <si>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</si>
  <si>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</si>
  <si>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</si>
  <si>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</si>
  <si>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</si>
  <si>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</si>
  <si>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</si>
  <si>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</si>
  <si>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</si>
  <si>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</si>
  <si>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</si>
  <si>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</si>
  <si>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</si>
  <si>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</si>
  <si>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</si>
  <si>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</si>
  <si>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</si>
  <si>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</si>
  <si>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</si>
  <si>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</si>
  <si>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</si>
  <si>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</si>
  <si>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</si>
  <si>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</si>
  <si>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</si>
  <si>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</si>
  <si>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</si>
  <si>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</si>
  <si>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</si>
  <si>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</si>
  <si>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</si>
  <si>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</si>
  <si>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</si>
  <si>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</si>
  <si>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</si>
  <si>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</si>
  <si>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</si>
  <si>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</si>
  <si>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</si>
  <si>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</si>
  <si>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</si>
  <si>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</si>
  <si>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</si>
  <si>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</si>
  <si>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</si>
  <si>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</si>
  <si>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</si>
  <si>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</si>
  <si>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</si>
  <si>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</si>
  <si>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</si>
  <si>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</si>
  <si>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</si>
  <si>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</si>
  <si>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</si>
  <si>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</si>
  <si>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</si>
  <si>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</si>
  <si>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</si>
  <si>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</si>
  <si>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</si>
  <si>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</si>
  <si>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</si>
  <si>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</si>
  <si>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</si>
  <si>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</si>
  <si>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</si>
  <si>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</si>
  <si>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</si>
  <si>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</si>
  <si>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</si>
  <si>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</si>
  <si>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</si>
  <si>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</si>
  <si>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</si>
  <si>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</si>
  <si>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</si>
  <si>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</si>
  <si>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</si>
  <si>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</si>
  <si>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</si>
  <si>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</si>
  <si>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</si>
  <si>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</si>
  <si>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</si>
  <si>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</si>
  <si>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</si>
  <si>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</si>
  <si>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</si>
  <si>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</si>
  <si>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</si>
  <si>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</si>
  <si>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</si>
  <si>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</si>
  <si>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</si>
  <si>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</si>
  <si>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</si>
  <si>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</si>
  <si>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</si>
  <si>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</si>
  <si>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</si>
  <si>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</si>
  <si>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</si>
  <si>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</si>
  <si>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</si>
  <si>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</si>
  <si>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</si>
  <si>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</si>
  <si>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</si>
  <si>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</si>
  <si>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</si>
  <si>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</si>
  <si>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</si>
  <si>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</si>
  <si>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</si>
  <si>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</si>
  <si>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</si>
  <si>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</si>
  <si>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</si>
  <si>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</si>
  <si>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</si>
  <si>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</si>
  <si>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</si>
  <si>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</si>
  <si>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</si>
  <si>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</si>
  <si>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</si>
  <si>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</si>
  <si>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</si>
  <si>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</si>
  <si>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</si>
  <si>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</si>
  <si>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</si>
  <si>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</si>
  <si>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</si>
  <si>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</si>
  <si>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</si>
  <si>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</si>
  <si>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</si>
  <si>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</si>
  <si>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</si>
  <si>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</si>
  <si>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</si>
  <si>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</si>
  <si>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</si>
  <si>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</si>
  <si>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</si>
  <si>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</si>
  <si>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</si>
  <si>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</si>
  <si>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</si>
  <si>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</si>
  <si>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</si>
  <si>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</si>
  <si>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</si>
  <si>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</si>
  <si>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</si>
  <si>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</si>
  <si>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</si>
  <si>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</si>
  <si>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</si>
  <si>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</si>
  <si>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</si>
  <si>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</si>
  <si>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</si>
  <si>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</si>
  <si>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</si>
  <si>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</si>
  <si>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</si>
  <si>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</si>
  <si>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</si>
  <si>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</si>
  <si>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</si>
  <si>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</si>
  <si>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</si>
  <si>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</si>
  <si>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</si>
  <si>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</si>
  <si>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</si>
  <si>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</si>
  <si>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</si>
  <si>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</si>
  <si>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</si>
  <si>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</si>
  <si>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</si>
  <si>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</si>
  <si>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</si>
  <si>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</si>
  <si>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</si>
  <si>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</si>
  <si>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</si>
  <si>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</si>
  <si>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</si>
  <si>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</si>
  <si>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</si>
  <si>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</si>
  <si>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</si>
  <si>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</si>
  <si>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</si>
  <si>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</si>
  <si>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</si>
  <si>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</si>
  <si>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</si>
  <si>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</si>
  <si>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</si>
  <si>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</si>
  <si>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</si>
  <si>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</si>
  <si>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</si>
  <si>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</si>
  <si>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</si>
  <si>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</si>
  <si>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</si>
  <si>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</si>
  <si>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</si>
  <si>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</si>
  <si>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</si>
  <si>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</si>
  <si>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</si>
  <si>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</si>
  <si>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</si>
  <si>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</si>
  <si>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</si>
  <si>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</si>
  <si>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</si>
  <si>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</si>
  <si>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</si>
  <si>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</si>
  <si>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</si>
  <si>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</si>
  <si>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</si>
  <si>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</si>
  <si>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</si>
  <si>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</si>
  <si>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</si>
  <si>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</si>
  <si>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</si>
  <si>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</si>
  <si>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</si>
  <si>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</si>
  <si>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</si>
  <si>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</si>
  <si>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</si>
  <si>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</si>
  <si>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</si>
  <si>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</si>
  <si>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</si>
  <si>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</si>
  <si>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</si>
  <si>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</si>
  <si>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</si>
  <si>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</si>
  <si>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</si>
  <si>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</si>
  <si>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</si>
  <si>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</si>
  <si>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</si>
  <si>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</si>
  <si>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</si>
  <si>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</si>
  <si>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</si>
  <si>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</si>
  <si>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</si>
  <si>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</si>
  <si>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</si>
  <si>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</si>
  <si>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</si>
  <si>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</si>
  <si>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</si>
  <si>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</si>
  <si>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</si>
  <si>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</si>
  <si>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</si>
  <si>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</si>
  <si>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</si>
  <si>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</si>
  <si>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</si>
  <si>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</si>
  <si>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</si>
  <si>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</si>
  <si>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</si>
  <si>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</si>
  <si>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</si>
  <si>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</si>
  <si>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</si>
  <si>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</si>
  <si>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</si>
  <si>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</si>
  <si>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</si>
  <si>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</si>
  <si>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</si>
  <si>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</si>
  <si>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</si>
  <si>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</si>
  <si>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</si>
  <si>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</si>
  <si>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</si>
  <si>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</si>
  <si>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</si>
  <si>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</si>
  <si>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</si>
  <si>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</si>
  <si>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</si>
  <si>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</si>
  <si>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</si>
  <si>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</si>
  <si>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</si>
  <si>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</si>
  <si>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</si>
  <si>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</si>
  <si>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</si>
  <si>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</si>
  <si>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</si>
  <si>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</si>
  <si>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</si>
  <si>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</si>
  <si>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</si>
  <si>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</si>
  <si>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</si>
  <si>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</si>
  <si>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</si>
  <si>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</si>
  <si>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</si>
  <si>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</si>
  <si>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</si>
  <si>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</si>
  <si>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</si>
  <si>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</si>
  <si>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</si>
  <si>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</si>
  <si>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</si>
  <si>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</si>
  <si>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</si>
  <si>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</si>
  <si>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</si>
  <si>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</si>
  <si>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</si>
  <si>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</si>
  <si>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</si>
  <si>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</si>
  <si>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</si>
  <si>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</si>
  <si>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</si>
  <si>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</si>
  <si>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</si>
  <si>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</si>
  <si>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</si>
  <si>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</si>
  <si>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</si>
  <si>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</si>
  <si>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</si>
  <si>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</si>
  <si>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</si>
  <si>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</si>
  <si>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</si>
  <si>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</si>
  <si>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</si>
  <si>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</si>
  <si>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</si>
  <si>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</si>
  <si>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</si>
  <si>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</si>
  <si>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</si>
  <si>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</si>
  <si>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</si>
  <si>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</si>
  <si>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</si>
  <si>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</si>
  <si>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</si>
  <si>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</si>
  <si>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</si>
  <si>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</si>
  <si>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</si>
  <si>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</si>
  <si>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</si>
  <si>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</si>
  <si>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</si>
  <si>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</si>
  <si>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</si>
  <si>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</si>
  <si>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</si>
  <si>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</si>
  <si>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</si>
  <si>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</si>
  <si>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</si>
  <si>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</si>
  <si>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</si>
  <si>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</si>
  <si>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</si>
  <si>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</si>
  <si>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</si>
  <si>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</si>
  <si>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</si>
  <si>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</si>
  <si>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</si>
  <si>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</si>
  <si>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</si>
  <si>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</si>
  <si>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</si>
  <si>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</si>
  <si>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</si>
  <si>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</si>
  <si>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</si>
  <si>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</si>
  <si>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</si>
  <si>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</si>
  <si>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</si>
  <si>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</si>
  <si>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</si>
  <si>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</si>
  <si>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</si>
  <si>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</si>
  <si>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</si>
  <si>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</si>
  <si>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</si>
  <si>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</si>
  <si>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</si>
  <si>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</si>
  <si>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</si>
  <si>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</si>
  <si>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</si>
  <si>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</si>
  <si>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</si>
  <si>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</si>
  <si>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</si>
  <si>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</si>
  <si>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</si>
  <si>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</si>
  <si>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</si>
  <si>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</si>
  <si>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</si>
  <si>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</si>
  <si>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</si>
  <si>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</si>
  <si>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</si>
  <si>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</si>
  <si>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</si>
  <si>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</si>
  <si>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</si>
  <si>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</si>
  <si>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</si>
  <si>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</si>
  <si>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</si>
  <si>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</si>
  <si>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</si>
  <si>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</si>
  <si>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</si>
  <si>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</si>
  <si>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</si>
  <si>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</si>
  <si>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</si>
  <si>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</si>
  <si>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</si>
  <si>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</si>
  <si>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</si>
  <si>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</si>
  <si>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</si>
  <si>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</si>
  <si>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</si>
  <si>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</si>
  <si>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</si>
  <si>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</si>
  <si>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</si>
  <si>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</si>
  <si>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</si>
  <si>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</si>
  <si>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</si>
  <si>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</si>
  <si>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</si>
  <si>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</si>
  <si>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</si>
  <si>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</si>
  <si>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</si>
  <si>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</si>
  <si>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</si>
  <si>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</si>
  <si>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</si>
  <si>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</si>
  <si>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</si>
  <si>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</si>
  <si>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</si>
  <si>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</si>
  <si>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</si>
  <si>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</si>
  <si>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</si>
  <si>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</si>
  <si>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</si>
  <si>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</si>
  <si>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</si>
  <si>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</si>
  <si>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</si>
  <si>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</si>
  <si>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</si>
  <si>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</si>
  <si>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</si>
  <si>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</si>
  <si>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</si>
  <si>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</si>
  <si>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</si>
  <si>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</si>
  <si>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</si>
  <si>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</si>
  <si>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</si>
  <si>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</si>
  <si>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</si>
  <si>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</si>
  <si>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</si>
  <si>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</si>
  <si>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</si>
  <si>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</si>
  <si>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</si>
  <si>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</si>
  <si>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</si>
  <si>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</si>
  <si>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</si>
  <si>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</si>
  <si>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</si>
  <si>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</si>
  <si>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</si>
  <si>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</si>
  <si>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</si>
  <si>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</si>
  <si>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</si>
  <si>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</si>
  <si>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</si>
  <si>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</si>
  <si>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</si>
  <si>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</si>
  <si>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</si>
  <si>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</si>
  <si>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</si>
  <si>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</si>
  <si>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</si>
  <si>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</si>
  <si>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</si>
  <si>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</si>
  <si>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</si>
  <si>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</si>
  <si>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</si>
  <si>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</si>
  <si>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</si>
  <si>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</si>
  <si>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</si>
  <si>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</si>
  <si>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</si>
  <si>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</si>
  <si>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</si>
  <si>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</si>
  <si>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</si>
  <si>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</si>
  <si>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</si>
  <si>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</si>
  <si>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</si>
  <si>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</si>
  <si>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</si>
  <si>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</si>
  <si>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</si>
  <si>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</si>
  <si>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</si>
  <si>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</si>
  <si>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</si>
  <si>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</si>
  <si>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</si>
  <si>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</si>
  <si>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</si>
  <si>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</si>
  <si>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</si>
  <si>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</si>
  <si>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</si>
  <si>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</si>
  <si>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</si>
  <si>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</si>
  <si>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</si>
  <si>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</si>
  <si>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</si>
  <si>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</si>
  <si>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</si>
  <si>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</si>
  <si>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</si>
  <si>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</si>
  <si>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</si>
  <si>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</si>
  <si>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</si>
  <si>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</si>
  <si>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</si>
  <si>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</si>
  <si>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</si>
  <si>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</si>
  <si>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</si>
  <si>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</si>
  <si>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</si>
  <si>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</si>
  <si>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</si>
  <si>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</si>
  <si>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</si>
  <si>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</si>
  <si>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</si>
  <si>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</si>
  <si>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</si>
  <si>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</si>
  <si>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</si>
  <si>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</si>
  <si>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</si>
  <si>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</si>
  <si>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</si>
  <si>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</si>
  <si>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</si>
  <si>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</si>
  <si>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</si>
  <si>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</si>
  <si>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</si>
  <si>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</si>
  <si>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</si>
  <si>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</si>
  <si>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</si>
  <si>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</si>
  <si>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</si>
  <si>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</si>
  <si>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</si>
  <si>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</si>
  <si>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</si>
  <si>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</si>
  <si>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</si>
  <si>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</si>
  <si>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</si>
  <si>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</si>
  <si>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</si>
  <si>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</si>
  <si>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</si>
  <si>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</si>
  <si>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</si>
  <si>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</si>
  <si>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</si>
  <si>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</si>
  <si>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</si>
  <si>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</si>
  <si>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</si>
  <si>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</si>
  <si>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</si>
  <si>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</si>
  <si>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</si>
  <si>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</si>
  <si>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</si>
  <si>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</si>
  <si>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</si>
  <si>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</si>
  <si>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</si>
  <si>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</si>
  <si>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</si>
  <si>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</si>
  <si>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</si>
  <si>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</si>
  <si>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</si>
  <si>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</si>
  <si>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</si>
  <si>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</si>
  <si>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</si>
  <si>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</si>
  <si>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</si>
  <si>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</si>
  <si>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</si>
  <si>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</si>
  <si>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</si>
  <si>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</si>
  <si>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</si>
  <si>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</si>
  <si>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</si>
  <si>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</si>
  <si>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</si>
  <si>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</si>
  <si>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</si>
  <si>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</si>
  <si>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</si>
  <si>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</si>
  <si>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</si>
  <si>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</si>
  <si>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</si>
  <si>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</si>
  <si>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</si>
  <si>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</si>
  <si>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</si>
  <si>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</si>
  <si>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</si>
  <si>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</si>
  <si>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</si>
  <si>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</si>
  <si>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</si>
  <si>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</si>
  <si>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</si>
  <si>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</si>
  <si>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</si>
  <si>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</si>
  <si>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</si>
  <si>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</si>
  <si>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</si>
  <si>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</si>
  <si>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</si>
  <si>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</si>
  <si>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</si>
  <si>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</si>
  <si>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</si>
  <si>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</si>
  <si>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</si>
  <si>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</si>
  <si>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</si>
  <si>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</si>
  <si>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</si>
  <si>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</si>
  <si>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</si>
  <si>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</si>
  <si>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</si>
  <si>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</si>
  <si>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</si>
  <si>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</si>
  <si>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</si>
  <si>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</si>
  <si>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</si>
  <si>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</si>
  <si>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</si>
  <si>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</si>
  <si>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</si>
  <si>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</si>
  <si>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</si>
  <si>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</si>
  <si>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</si>
  <si>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</si>
  <si>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</si>
  <si>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</si>
  <si>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</si>
  <si>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</si>
  <si>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</si>
  <si>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</si>
  <si>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</si>
  <si>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</si>
  <si>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</si>
  <si>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</si>
  <si>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</si>
  <si>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</si>
  <si>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</si>
  <si>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</si>
  <si>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</si>
  <si>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</si>
  <si>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</si>
  <si>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</si>
  <si>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</si>
  <si>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</si>
  <si>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</si>
  <si>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</si>
  <si>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</si>
  <si>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</si>
  <si>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</si>
  <si>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</si>
  <si>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</si>
  <si>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</si>
  <si>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</si>
  <si>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</si>
  <si>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</si>
  <si>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</si>
  <si>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</si>
  <si>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</si>
  <si>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</si>
  <si>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</si>
  <si>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</si>
  <si>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</si>
  <si>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</si>
  <si>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</si>
  <si>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</si>
  <si>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</si>
  <si>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</si>
  <si>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</si>
  <si>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</si>
  <si>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</si>
  <si>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</si>
  <si>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</si>
  <si>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</si>
  <si>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</si>
  <si>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</si>
  <si>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</si>
  <si>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</si>
  <si>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</si>
  <si>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</si>
  <si>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</si>
  <si>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</si>
  <si>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</si>
  <si>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</si>
  <si>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</si>
  <si>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</si>
  <si>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</si>
  <si>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</si>
  <si>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</si>
  <si>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</si>
  <si>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</si>
  <si>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</si>
  <si>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</si>
  <si>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</si>
  <si>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</si>
  <si>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</si>
  <si>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</si>
  <si>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</si>
  <si>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</si>
  <si>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</si>
  <si>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</si>
  <si>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</si>
  <si>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</si>
  <si>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</si>
  <si>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</si>
  <si>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</si>
  <si>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</si>
  <si>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</si>
  <si>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</si>
  <si>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</si>
  <si>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</si>
  <si>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</si>
  <si>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</si>
  <si>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</si>
  <si>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</si>
  <si>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</si>
  <si>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</si>
  <si>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</si>
  <si>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</si>
  <si>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</si>
  <si>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</si>
  <si>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</si>
  <si>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</si>
  <si>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</si>
  <si>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</si>
  <si>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</si>
  <si>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</si>
  <si>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</si>
  <si>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</si>
  <si>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</si>
  <si>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</si>
  <si>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</si>
  <si>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</si>
  <si>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</si>
  <si>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</si>
  <si>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</si>
  <si>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</si>
  <si>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</si>
  <si>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</si>
  <si>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</si>
  <si>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</si>
  <si>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</si>
  <si>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</si>
  <si>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</si>
  <si>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</si>
  <si>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</si>
  <si>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</si>
  <si>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</si>
  <si>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</si>
  <si>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</si>
  <si>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</si>
  <si>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</si>
  <si>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</si>
  <si>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</si>
  <si>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</si>
  <si>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</si>
  <si>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</si>
  <si>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</si>
  <si>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</si>
  <si>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</si>
  <si>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</si>
  <si>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</si>
  <si>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</si>
  <si>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</si>
  <si>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</si>
  <si>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</si>
  <si>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</si>
  <si>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</si>
  <si>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</si>
  <si>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</si>
  <si>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</si>
  <si>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</si>
  <si>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</si>
  <si>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</si>
  <si>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</si>
  <si>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</si>
  <si>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</si>
  <si>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</si>
  <si>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</si>
  <si>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</si>
  <si>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</si>
  <si>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</si>
  <si>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</si>
  <si>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</si>
  <si>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</si>
  <si>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</si>
  <si>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</si>
  <si>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</si>
  <si>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</si>
  <si>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</si>
  <si>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</si>
  <si>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</si>
  <si>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</si>
  <si>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</si>
  <si>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</si>
  <si>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</si>
  <si>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</si>
  <si>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</si>
  <si>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</si>
  <si>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</si>
  <si>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</si>
  <si>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</si>
  <si>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</si>
  <si>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</si>
  <si>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</si>
  <si>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</si>
  <si>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</si>
  <si>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</si>
  <si>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</si>
  <si>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</si>
  <si>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</si>
  <si>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</si>
  <si>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</si>
  <si>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</si>
  <si>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</si>
  <si>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</si>
  <si>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</si>
  <si>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</si>
  <si>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</si>
  <si>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</si>
  <si>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</si>
  <si>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</si>
  <si>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</si>
  <si>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</si>
  <si>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</si>
  <si>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</si>
  <si>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</si>
  <si>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</si>
  <si>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</si>
  <si>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</si>
  <si>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</si>
  <si>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</si>
  <si>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</si>
  <si>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</si>
  <si>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</si>
  <si>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</si>
  <si>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</si>
  <si>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</si>
  <si>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</si>
  <si>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</si>
  <si>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</si>
  <si>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</si>
  <si>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</si>
  <si>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</si>
  <si>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</si>
  <si>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</si>
  <si>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</si>
  <si>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</si>
  <si>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</si>
  <si>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</si>
  <si>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</si>
  <si>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</si>
  <si>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</si>
  <si>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</si>
  <si>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</si>
  <si>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</si>
  <si>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</si>
  <si>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</si>
  <si>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</si>
  <si>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</si>
  <si>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</si>
  <si>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</si>
  <si>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</si>
  <si>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</si>
  <si>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</si>
  <si>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</si>
  <si>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</si>
  <si>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</si>
  <si>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</si>
  <si>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</si>
  <si>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</si>
  <si>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</si>
  <si>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</si>
  <si>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</si>
  <si>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</si>
  <si>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</si>
  <si>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</si>
  <si>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</si>
  <si>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</si>
  <si>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</si>
  <si>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</si>
  <si>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</si>
  <si>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</si>
  <si>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</si>
  <si>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</si>
  <si>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</si>
  <si>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</si>
  <si>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</si>
  <si>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</si>
  <si>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</si>
  <si>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</si>
  <si>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</si>
  <si>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</si>
  <si>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</si>
  <si>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</si>
  <si>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</si>
  <si>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</si>
  <si>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</si>
  <si>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</si>
  <si>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</si>
  <si>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</si>
  <si>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</si>
  <si>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</si>
  <si>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</si>
  <si>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</si>
  <si>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</si>
  <si>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</si>
  <si>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</si>
  <si>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</si>
  <si>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</si>
  <si>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</si>
  <si>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</si>
  <si>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</si>
  <si>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</si>
  <si>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</si>
  <si>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</si>
  <si>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</si>
  <si>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</si>
  <si>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</si>
  <si>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</si>
  <si>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</si>
  <si>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</si>
  <si>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</si>
  <si>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</si>
  <si>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</si>
  <si>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</si>
  <si>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</si>
  <si>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</si>
  <si>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</si>
  <si>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</si>
  <si>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</si>
  <si>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</si>
  <si>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</si>
  <si>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</si>
  <si>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</si>
  <si>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</si>
  <si>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</si>
  <si>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</si>
  <si>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</si>
  <si>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</si>
  <si>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</si>
  <si>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</si>
  <si>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</si>
  <si>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</si>
  <si>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</si>
  <si>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</si>
  <si>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</si>
  <si>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</si>
  <si>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</si>
  <si>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</si>
  <si>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</si>
  <si>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</si>
  <si>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</si>
  <si>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</si>
  <si>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</si>
  <si>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</si>
  <si>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</si>
  <si>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</si>
  <si>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</si>
  <si>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</si>
  <si>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</si>
  <si>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</si>
  <si>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</si>
  <si>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</si>
  <si>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</si>
  <si>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</si>
  <si>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</si>
  <si>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</si>
  <si>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</si>
  <si>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</si>
  <si>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</si>
  <si>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</si>
  <si>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</si>
  <si>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</si>
  <si>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</si>
  <si>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</si>
  <si>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</si>
  <si>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</si>
  <si>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</si>
  <si>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</si>
  <si>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</si>
  <si>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</si>
  <si>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</si>
  <si>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</si>
  <si>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</si>
  <si>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</si>
  <si>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</si>
  <si>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</si>
  <si>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</si>
  <si>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</si>
  <si>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</si>
  <si>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</si>
  <si>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</si>
  <si>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</si>
  <si>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</si>
  <si>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</si>
  <si>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</si>
  <si>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</si>
  <si>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</si>
  <si>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</si>
  <si>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</si>
  <si>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</si>
  <si>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</si>
  <si>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</si>
  <si>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</si>
  <si>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</si>
  <si>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</si>
  <si>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</si>
  <si>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</si>
  <si>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</si>
  <si>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</si>
  <si>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</si>
  <si>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</si>
  <si>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</si>
  <si>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</si>
  <si>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</si>
  <si>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</si>
  <si>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</si>
  <si>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</si>
  <si>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</si>
  <si>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</si>
  <si>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</si>
  <si>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</si>
  <si>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</si>
  <si>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</si>
  <si>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</si>
  <si>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</si>
  <si>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</si>
  <si>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</si>
  <si>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</si>
  <si>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</si>
  <si>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</si>
  <si>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</si>
  <si>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</si>
  <si>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</si>
  <si>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</si>
  <si>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</si>
  <si>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</si>
  <si>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</si>
  <si>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</si>
  <si>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</si>
  <si>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</si>
  <si>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</si>
  <si>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</si>
  <si>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</si>
  <si>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</si>
  <si>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</si>
  <si>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</si>
  <si>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</si>
  <si>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</si>
  <si>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</si>
  <si>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</si>
  <si>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</si>
  <si>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</si>
  <si>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</si>
  <si>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</si>
  <si>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</si>
  <si>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</si>
  <si>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</si>
  <si>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</si>
  <si>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</si>
  <si>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</si>
  <si>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</si>
  <si>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</si>
  <si>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</si>
  <si>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</si>
  <si>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</si>
  <si>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</si>
  <si>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</si>
  <si>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</si>
  <si>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</si>
  <si>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</si>
  <si>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</si>
  <si>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</si>
  <si>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</si>
  <si>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</si>
  <si>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</si>
  <si>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</si>
  <si>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</si>
  <si>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</si>
  <si>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</si>
  <si>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</si>
  <si>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</si>
  <si>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</si>
  <si>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</si>
  <si>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</si>
  <si>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</si>
  <si>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</si>
  <si>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</si>
  <si>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</si>
  <si>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</si>
  <si>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</si>
  <si>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</si>
  <si>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</si>
  <si>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</si>
  <si>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</si>
  <si>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</si>
  <si>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</si>
  <si>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</si>
  <si>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</si>
  <si>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</si>
  <si>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</si>
  <si>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</si>
  <si>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</si>
  <si>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</si>
  <si>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</si>
  <si>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</si>
  <si>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</si>
  <si>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</si>
  <si>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</si>
  <si>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</si>
  <si>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</si>
  <si>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</si>
  <si>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</si>
  <si>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</si>
  <si>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</si>
  <si>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</si>
  <si>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</si>
  <si>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</si>
  <si>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</si>
  <si>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</si>
  <si>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</si>
  <si>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</si>
  <si>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</si>
  <si>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</si>
  <si>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</si>
  <si>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</si>
  <si>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</si>
  <si>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</si>
  <si>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</si>
  <si>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</si>
  <si>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</si>
  <si>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</si>
  <si>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</si>
  <si>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</si>
  <si>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</si>
  <si>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</si>
  <si>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</si>
  <si>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</si>
  <si>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</si>
  <si>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</si>
  <si>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</si>
  <si>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</si>
  <si>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</si>
  <si>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</si>
  <si>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</si>
  <si>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</si>
  <si>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</si>
  <si>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</si>
  <si>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</si>
  <si>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</si>
  <si>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</si>
  <si>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</si>
  <si>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</si>
  <si>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</si>
  <si>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</si>
  <si>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</si>
  <si>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</si>
  <si>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</si>
  <si>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</si>
  <si>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</si>
  <si>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</si>
  <si>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</si>
  <si>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</si>
  <si>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</si>
  <si>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</si>
  <si>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</si>
  <si>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</si>
  <si>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</si>
  <si>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</si>
  <si>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</si>
  <si>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</si>
  <si>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</si>
  <si>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</si>
  <si>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</si>
  <si>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</si>
  <si>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</si>
  <si>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</si>
  <si>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</si>
  <si>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</si>
  <si>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</si>
  <si>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</si>
  <si>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</si>
  <si>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</si>
  <si>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</si>
  <si>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</si>
  <si>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</si>
  <si>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</si>
  <si>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</si>
  <si>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</si>
  <si>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</si>
  <si>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</si>
  <si>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</si>
  <si>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</si>
  <si>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</si>
  <si>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</si>
  <si>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</si>
  <si>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</si>
  <si>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</si>
  <si>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</si>
  <si>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</si>
  <si>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</si>
  <si>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</si>
  <si>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</si>
  <si>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</si>
  <si>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</si>
  <si>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</si>
  <si>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</si>
  <si>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</si>
  <si>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</si>
  <si>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</si>
  <si>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</si>
  <si>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</si>
  <si>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</si>
  <si>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</si>
  <si>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</si>
  <si>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</si>
  <si>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</si>
  <si>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</si>
  <si>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</si>
  <si>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</si>
  <si>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</si>
  <si>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</si>
  <si>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</si>
  <si>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</si>
  <si>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</si>
  <si>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</si>
  <si>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</si>
  <si>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</si>
  <si>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</si>
  <si>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</si>
  <si>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</si>
  <si>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</si>
  <si>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</si>
  <si>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</si>
  <si>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</si>
  <si>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</si>
  <si>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</si>
  <si>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</si>
  <si>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</si>
  <si>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</si>
  <si>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</si>
  <si>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</si>
  <si>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</si>
  <si>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</si>
  <si>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</si>
  <si>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</si>
  <si>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</si>
  <si>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</si>
  <si>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</si>
  <si>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</si>
  <si>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</si>
  <si>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</si>
  <si>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</si>
  <si>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</si>
  <si>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</si>
  <si>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</si>
  <si>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</si>
  <si>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</si>
  <si>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</si>
  <si>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</si>
  <si>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</si>
  <si>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</si>
  <si>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</si>
  <si>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</si>
  <si>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</si>
  <si>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</si>
  <si>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</si>
  <si>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</si>
  <si>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</si>
  <si>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</si>
  <si>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</si>
  <si>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</si>
  <si>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</si>
  <si>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</si>
  <si>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</si>
  <si>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</si>
  <si>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</si>
  <si>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</si>
  <si>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</si>
  <si>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</si>
  <si>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</si>
  <si>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</si>
  <si>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</si>
  <si>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</si>
  <si>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</si>
  <si>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</si>
  <si>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</si>
  <si>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</si>
  <si>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</si>
  <si>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</si>
  <si>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</si>
  <si>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</si>
  <si>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</si>
  <si>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</si>
  <si>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</si>
  <si>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</si>
  <si>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</si>
  <si>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</si>
  <si>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</si>
  <si>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</si>
  <si>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</si>
  <si>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</si>
  <si>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</si>
  <si>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</si>
  <si>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</si>
  <si>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</si>
  <si>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</si>
  <si>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</si>
  <si>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</si>
  <si>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</si>
  <si>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</si>
  <si>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</si>
  <si>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</si>
  <si>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</si>
  <si>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</si>
  <si>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</si>
  <si>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</si>
  <si>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</si>
  <si>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</si>
  <si>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</si>
  <si>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</si>
  <si>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</si>
  <si>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</si>
  <si>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</si>
  <si>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</si>
  <si>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</si>
  <si>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</si>
  <si>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</si>
  <si>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</si>
  <si>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</si>
  <si>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</si>
  <si>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</si>
  <si>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</si>
  <si>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</si>
  <si>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</si>
  <si>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</si>
  <si>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</si>
  <si>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</si>
  <si>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</si>
  <si>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</si>
  <si>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</si>
  <si>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</si>
  <si>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</si>
  <si>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</si>
  <si>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</si>
  <si>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</si>
  <si>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</si>
  <si>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</si>
  <si>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</si>
  <si>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</si>
  <si>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</si>
  <si>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</si>
  <si>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</si>
  <si>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</si>
  <si>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</si>
  <si>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</si>
  <si>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</si>
  <si>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</si>
  <si>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</si>
  <si>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</si>
  <si>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</si>
  <si>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</si>
  <si>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</si>
  <si>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</si>
  <si>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</si>
  <si>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</si>
  <si>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</si>
  <si>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</si>
  <si>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</si>
  <si>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</si>
  <si>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</si>
  <si>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</si>
  <si>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</si>
  <si>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</si>
  <si>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</si>
  <si>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</si>
  <si>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</si>
  <si>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</si>
  <si>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</si>
  <si>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</si>
  <si>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</si>
  <si>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</si>
  <si>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</si>
  <si>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</si>
  <si>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</si>
  <si>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</si>
  <si>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</si>
  <si>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</si>
  <si>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</si>
  <si>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</si>
  <si>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</si>
  <si>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</si>
  <si>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</si>
  <si>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</si>
  <si>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</si>
  <si>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</si>
  <si>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</si>
  <si>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</si>
  <si>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</si>
  <si>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</si>
  <si>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</si>
  <si>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</si>
  <si>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</si>
  <si>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</si>
  <si>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</si>
  <si>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</si>
  <si>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</si>
  <si>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</si>
  <si>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</si>
  <si>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</si>
  <si>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</si>
  <si>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</si>
  <si>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</si>
  <si>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</si>
  <si>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</si>
  <si>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</si>
  <si>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</si>
  <si>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</si>
  <si>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</si>
  <si>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</si>
  <si>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</si>
  <si>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</si>
  <si>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</si>
  <si>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</si>
  <si>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</si>
  <si>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</si>
  <si>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</si>
  <si>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</si>
  <si>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</si>
  <si>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</si>
  <si>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</si>
  <si>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</si>
  <si>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</si>
  <si>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</si>
  <si>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</si>
  <si>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</si>
  <si>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</si>
  <si>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</si>
  <si>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</si>
  <si>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</si>
  <si>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</si>
  <si>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</si>
  <si>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</si>
  <si>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</si>
  <si>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</si>
  <si>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</si>
  <si>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</si>
  <si>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</si>
  <si>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</si>
  <si>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</si>
  <si>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</si>
  <si>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</si>
  <si>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</si>
  <si>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</si>
  <si>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</si>
  <si>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</si>
  <si>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</si>
  <si>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</si>
  <si>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</si>
  <si>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</si>
  <si>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</si>
  <si>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</si>
  <si>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</si>
  <si>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</si>
  <si>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</si>
  <si>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</si>
  <si>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</si>
  <si>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</si>
  <si>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</si>
  <si>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</si>
  <si>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</si>
  <si>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</si>
  <si>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</si>
  <si>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</si>
  <si>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</si>
  <si>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</si>
  <si>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</si>
  <si>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</si>
  <si>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</si>
  <si>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</si>
  <si>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</si>
  <si>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</si>
  <si>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</si>
  <si>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</si>
  <si>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</si>
  <si>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</si>
  <si>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</si>
  <si>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</si>
  <si>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</si>
  <si>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</si>
  <si>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</si>
  <si>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</si>
  <si>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</si>
  <si>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</si>
  <si>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</si>
  <si>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</si>
  <si>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</si>
  <si>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</si>
  <si>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</si>
  <si>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</si>
  <si>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</si>
  <si>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</si>
  <si>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</si>
  <si>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</si>
  <si>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</si>
  <si>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</si>
  <si>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</si>
  <si>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</si>
  <si>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</si>
  <si>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</si>
  <si>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</si>
  <si>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</si>
  <si>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</si>
  <si>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</si>
  <si>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</si>
  <si>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</si>
  <si>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</si>
  <si>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</si>
  <si>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</si>
  <si>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</si>
  <si>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</si>
  <si>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</si>
  <si>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</si>
  <si>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</si>
  <si>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</si>
  <si>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</si>
  <si>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</si>
  <si>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</si>
  <si>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</si>
  <si>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</si>
  <si>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</si>
  <si>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</si>
  <si>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</si>
  <si>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</si>
  <si>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</si>
  <si>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</si>
  <si>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</si>
  <si>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</si>
  <si>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</si>
  <si>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</si>
  <si>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</si>
  <si>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</si>
  <si>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</si>
  <si>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</si>
  <si>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</si>
  <si>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</si>
  <si>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</si>
  <si>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</si>
  <si>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</si>
  <si>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</si>
  <si>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</si>
  <si>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</si>
  <si>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</si>
  <si>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</si>
  <si>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</si>
  <si>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</si>
  <si>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</si>
  <si>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</si>
  <si>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</si>
  <si>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</si>
  <si>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</si>
  <si>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</si>
  <si>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</si>
  <si>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</si>
  <si>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</si>
  <si>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</si>
  <si>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</si>
  <si>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</si>
  <si>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</si>
  <si>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</si>
  <si>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</si>
  <si>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</si>
  <si>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</si>
  <si>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</si>
  <si>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</si>
  <si>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</si>
  <si>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</si>
  <si>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</si>
  <si>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</si>
  <si>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</si>
  <si>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</si>
  <si>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</si>
  <si>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</si>
  <si>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</si>
  <si>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</si>
  <si>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</si>
  <si>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</si>
  <si>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</si>
  <si>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</si>
  <si>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</si>
  <si>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</si>
  <si>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</si>
  <si>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</si>
  <si>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</si>
  <si>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</si>
  <si>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</si>
  <si>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</si>
  <si>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</si>
  <si>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</si>
  <si>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</si>
  <si>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</si>
  <si>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</si>
  <si>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</si>
  <si>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</si>
  <si>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</si>
  <si>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</si>
  <si>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</si>
  <si>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</si>
  <si>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</si>
  <si>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</si>
  <si>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</si>
  <si>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</si>
  <si>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</si>
  <si>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</si>
  <si>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</si>
  <si>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</si>
  <si>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</si>
  <si>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</si>
  <si>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</si>
  <si>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</si>
  <si>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</si>
  <si>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</si>
  <si>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</si>
  <si>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</si>
  <si>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</si>
  <si>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</si>
  <si>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</si>
  <si>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</si>
  <si>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</si>
  <si>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</si>
  <si>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</si>
  <si>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</si>
  <si>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</si>
  <si>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</si>
  <si>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</si>
  <si>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</si>
  <si>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</si>
  <si>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</si>
  <si>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</si>
  <si>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</si>
  <si>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</si>
  <si>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</si>
  <si>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</si>
  <si>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</si>
  <si>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</si>
  <si>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</si>
  <si>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</si>
  <si>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</si>
  <si>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</si>
  <si>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</si>
  <si>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</si>
  <si>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</si>
  <si>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</si>
  <si>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</si>
  <si>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</si>
  <si>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</si>
  <si>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</si>
  <si>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</si>
  <si>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</si>
  <si>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</si>
  <si>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</si>
  <si>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</si>
  <si>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</si>
  <si>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</si>
  <si>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</si>
  <si>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</si>
  <si>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</si>
  <si>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</si>
  <si>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</si>
  <si>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</si>
  <si>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</si>
  <si>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</si>
  <si>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</si>
  <si>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</si>
  <si>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</si>
  <si>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</si>
  <si>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</si>
  <si>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</si>
  <si>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</si>
  <si>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</si>
  <si>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</si>
  <si>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</si>
  <si>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</si>
  <si>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</si>
  <si>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</si>
  <si>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</si>
  <si>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</si>
  <si>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</si>
  <si>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</si>
  <si>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</si>
  <si>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</si>
  <si>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</si>
  <si>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</si>
  <si>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</si>
  <si>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</si>
  <si>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</si>
  <si>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</si>
  <si>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</si>
  <si>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</si>
  <si>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</si>
  <si>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</si>
  <si>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</si>
  <si>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</si>
  <si>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</si>
  <si>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</si>
  <si>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</si>
  <si>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</si>
  <si>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</si>
  <si>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</si>
  <si>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</si>
  <si>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</si>
  <si>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</si>
  <si>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</si>
  <si>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</si>
  <si>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</si>
  <si>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</si>
  <si>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</si>
  <si>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</si>
  <si>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</si>
  <si>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</si>
  <si>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</si>
  <si>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</si>
  <si>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</si>
  <si>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</si>
  <si>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</si>
  <si>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</si>
  <si>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</si>
  <si>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</si>
  <si>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</si>
  <si>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</si>
  <si>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</si>
  <si>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</si>
  <si>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</si>
  <si>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</si>
  <si>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</si>
  <si>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</si>
  <si>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</si>
  <si>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</si>
  <si>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</si>
  <si>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</si>
  <si>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</si>
  <si>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</si>
  <si>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</si>
  <si>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</si>
  <si>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</si>
  <si>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</si>
  <si>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</si>
  <si>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</si>
  <si>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</si>
  <si>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</si>
  <si>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</si>
  <si>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</si>
  <si>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</si>
  <si>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</si>
  <si>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</si>
  <si>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</si>
  <si>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</si>
  <si>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</si>
  <si>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</si>
  <si>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</si>
  <si>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</si>
  <si>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</si>
  <si>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</si>
  <si>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</si>
  <si>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</si>
  <si>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</si>
  <si>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</si>
  <si>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</si>
  <si>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</si>
  <si>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</si>
  <si>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</si>
  <si>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</si>
  <si>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</si>
  <si>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</si>
  <si>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</si>
  <si>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</si>
  <si>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</si>
  <si>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</si>
  <si>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</si>
  <si>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</si>
  <si>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</si>
  <si>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</si>
  <si>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</si>
  <si>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</si>
  <si>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</si>
  <si>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</si>
  <si>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</si>
  <si>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</si>
  <si>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</si>
  <si>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</si>
  <si>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</si>
  <si>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</si>
  <si>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</si>
  <si>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</si>
  <si>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</si>
  <si>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</si>
  <si>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</si>
  <si>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</si>
  <si>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</si>
  <si>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</si>
  <si>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</si>
  <si>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</si>
  <si>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</si>
  <si>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</si>
  <si>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</si>
  <si>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</si>
  <si>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</si>
  <si>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</si>
  <si>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</si>
  <si>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</si>
  <si>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</si>
  <si>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</si>
  <si>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</si>
  <si>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</si>
  <si>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</si>
  <si>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</si>
  <si>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</si>
  <si>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</si>
  <si>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</si>
  <si>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</si>
  <si>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</si>
  <si>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</si>
  <si>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</si>
  <si>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</si>
  <si>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</si>
  <si>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</si>
  <si>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</si>
  <si>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</si>
  <si>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</si>
  <si>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</si>
  <si>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</si>
  <si>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</si>
  <si>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</si>
  <si>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</si>
  <si>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</si>
  <si>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</si>
  <si>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</si>
  <si>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</si>
  <si>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</si>
  <si>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</si>
  <si>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</si>
  <si>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</si>
  <si>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</si>
  <si>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</si>
  <si>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</si>
  <si>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</si>
  <si>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</si>
  <si>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</si>
  <si>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</si>
  <si>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</si>
  <si>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</si>
  <si>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</si>
  <si>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</si>
  <si>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</si>
  <si>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</si>
  <si>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</si>
  <si>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</si>
  <si>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</si>
  <si>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</si>
  <si>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</si>
  <si>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</si>
  <si>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</si>
  <si>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</si>
  <si>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</si>
  <si>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</si>
  <si>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</si>
  <si>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</si>
  <si>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</si>
  <si>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</si>
  <si>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</si>
  <si>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</si>
  <si>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</si>
  <si>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</si>
  <si>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</si>
  <si>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</si>
  <si>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</si>
  <si>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</si>
  <si>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</si>
  <si>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</si>
  <si>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</si>
  <si>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</si>
  <si>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</si>
  <si>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</si>
  <si>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</si>
  <si>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</si>
  <si>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</si>
  <si>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</si>
  <si>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</si>
  <si>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</si>
  <si>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</si>
  <si>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</si>
  <si>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</si>
  <si>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</si>
  <si>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</si>
  <si>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</si>
  <si>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</si>
  <si>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</si>
  <si>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</si>
  <si>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</si>
  <si>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</si>
  <si>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</si>
  <si>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</si>
  <si>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</si>
  <si>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</si>
  <si>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</si>
  <si>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</si>
  <si>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</si>
  <si>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</si>
  <si>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</si>
  <si>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</si>
  <si>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</si>
  <si>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</si>
  <si>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</si>
  <si>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</si>
  <si>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</si>
  <si>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</si>
  <si>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</si>
  <si>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</si>
  <si>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</si>
  <si>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</si>
  <si>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</si>
  <si>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</si>
  <si>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</si>
  <si>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</si>
  <si>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</si>
  <si>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</si>
  <si>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</si>
  <si>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</si>
  <si>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</si>
  <si>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</si>
  <si>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</si>
  <si>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</si>
  <si>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</si>
  <si>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</si>
  <si>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</si>
  <si>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</si>
  <si>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</si>
  <si>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</si>
  <si>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</si>
  <si>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</si>
  <si>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</si>
  <si>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</si>
  <si>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</si>
  <si>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</si>
  <si>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</si>
  <si>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</si>
  <si>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</si>
  <si>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</si>
  <si>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</si>
  <si>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</si>
  <si>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</si>
  <si>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</si>
  <si>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</si>
  <si>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</si>
  <si>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</si>
  <si>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</si>
  <si>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</si>
  <si>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</si>
  <si>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</si>
  <si>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</si>
  <si>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</si>
  <si>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</si>
  <si>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</si>
  <si>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</si>
  <si>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</si>
  <si>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</si>
  <si>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</si>
  <si>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</si>
  <si>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</si>
  <si>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</si>
  <si>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</si>
  <si>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</si>
  <si>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</si>
  <si>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</si>
  <si>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</si>
  <si>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</si>
  <si>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</si>
  <si>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</si>
  <si>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</si>
  <si>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</si>
  <si>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</si>
  <si>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</si>
  <si>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</si>
  <si>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</si>
  <si>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</si>
  <si>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</si>
  <si>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</si>
  <si>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</si>
  <si>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</si>
  <si>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</si>
  <si>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</si>
  <si>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</si>
  <si>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</si>
  <si>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</si>
  <si>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</si>
  <si>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</si>
  <si>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</si>
  <si>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</si>
  <si>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</si>
  <si>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</si>
  <si>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</si>
  <si>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</si>
  <si>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</si>
  <si>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</si>
  <si>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</si>
  <si>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</si>
  <si>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</si>
  <si>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</si>
  <si>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</si>
  <si>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</si>
  <si>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</si>
  <si>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</si>
  <si>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</si>
  <si>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</si>
  <si>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</si>
  <si>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</si>
  <si>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</si>
  <si>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</si>
  <si>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</si>
  <si>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</si>
  <si>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</si>
  <si>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</si>
  <si>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</si>
  <si>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</si>
  <si>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</si>
  <si>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</si>
  <si>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</si>
  <si>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</si>
  <si>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</si>
  <si>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</si>
  <si>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</si>
  <si>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</si>
  <si>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</si>
  <si>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</si>
  <si>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</si>
  <si>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</si>
  <si>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</si>
  <si>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</si>
  <si>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</si>
  <si>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</si>
  <si>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</si>
  <si>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</si>
  <si>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</si>
  <si>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</si>
  <si>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</si>
  <si>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</si>
  <si>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</si>
  <si>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</si>
  <si>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</si>
  <si>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</si>
  <si>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</si>
  <si>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</si>
  <si>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</si>
  <si>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</si>
  <si>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</si>
  <si>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</si>
  <si>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</si>
  <si>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</si>
  <si>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</si>
  <si>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</si>
  <si>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</si>
  <si>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</si>
  <si>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</si>
  <si>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</si>
  <si>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</si>
  <si>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</si>
  <si>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</si>
  <si>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</si>
  <si>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</si>
  <si>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</si>
  <si>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</si>
  <si>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</si>
  <si>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</si>
  <si>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</si>
  <si>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</si>
  <si>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</si>
  <si>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</si>
  <si>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</si>
  <si>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</si>
  <si>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</si>
  <si>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</si>
  <si>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</si>
  <si>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</si>
  <si>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</si>
  <si>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</si>
  <si>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</si>
  <si>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</si>
  <si>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</si>
  <si>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</si>
  <si>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</si>
  <si>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</si>
  <si>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</si>
  <si>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</si>
  <si>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</si>
  <si>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</si>
  <si>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</si>
  <si>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</si>
  <si>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</si>
  <si>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</si>
  <si>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</si>
  <si>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</si>
  <si>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</si>
  <si>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</si>
  <si>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</si>
  <si>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</si>
  <si>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</si>
  <si>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</si>
  <si>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</si>
  <si>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</si>
  <si>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</si>
  <si>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</si>
  <si>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</si>
  <si>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</si>
  <si>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</si>
  <si>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</si>
  <si>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</si>
  <si>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</si>
  <si>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</si>
  <si>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</si>
  <si>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</si>
  <si>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</si>
  <si>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</si>
  <si>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</si>
  <si>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</si>
  <si>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</si>
  <si>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</si>
  <si>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</si>
  <si>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</si>
  <si>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</si>
  <si>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</si>
  <si>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</si>
  <si>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</si>
  <si>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</si>
  <si>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</si>
  <si>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</si>
  <si>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</si>
  <si>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</si>
  <si>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</si>
  <si>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</si>
  <si>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</si>
  <si>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</si>
  <si>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</si>
  <si>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</si>
  <si>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</si>
  <si>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</si>
  <si>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</si>
  <si>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</si>
  <si>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</si>
  <si>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</si>
  <si>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</si>
  <si>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</si>
  <si>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</si>
  <si>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</si>
  <si>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</si>
  <si>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</si>
  <si>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</si>
  <si>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</si>
  <si>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</si>
  <si>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</si>
  <si>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</si>
  <si>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</si>
  <si>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</si>
  <si>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</si>
  <si>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</si>
  <si>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</si>
  <si>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</si>
  <si>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</si>
  <si>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</si>
  <si>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</si>
  <si>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</si>
  <si>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</si>
  <si>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</si>
  <si>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</si>
  <si>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</si>
  <si>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</si>
  <si>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</si>
  <si>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</si>
  <si>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</si>
  <si>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</si>
  <si>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</si>
  <si>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</si>
  <si>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</si>
  <si>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</si>
  <si>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</si>
  <si>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</si>
  <si>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</si>
  <si>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</si>
  <si>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</si>
  <si>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</si>
  <si>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</si>
  <si>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</si>
  <si>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</si>
  <si>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</si>
  <si>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</si>
  <si>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</si>
  <si>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</si>
  <si>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</si>
  <si>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</si>
  <si>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</si>
  <si>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</si>
  <si>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</si>
  <si>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</si>
  <si>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</si>
  <si>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</si>
  <si>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</si>
  <si>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</si>
  <si>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</si>
  <si>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</si>
  <si>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</si>
  <si>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</si>
  <si>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</si>
  <si>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</si>
  <si>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</si>
  <si>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</si>
  <si>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</si>
  <si>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</si>
  <si>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</si>
  <si>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</si>
  <si>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</si>
  <si>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</si>
  <si>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</si>
  <si>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</si>
  <si>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</si>
  <si>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</si>
  <si>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</si>
  <si>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</si>
  <si>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</si>
  <si>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</si>
  <si>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</si>
  <si>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</si>
  <si>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</si>
  <si>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</si>
  <si>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</si>
  <si>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</si>
  <si>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</si>
  <si>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</si>
  <si>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</si>
  <si>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</si>
  <si>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</si>
  <si>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</si>
  <si>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</si>
  <si>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</si>
  <si>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</si>
  <si>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</si>
  <si>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</si>
  <si>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</si>
  <si>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</si>
  <si>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</si>
  <si>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</si>
  <si>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</si>
  <si>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</si>
  <si>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</si>
  <si>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</si>
  <si>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</si>
  <si>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</si>
  <si>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</si>
  <si>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</si>
  <si>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</si>
  <si>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</si>
  <si>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</si>
  <si>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</si>
  <si>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</si>
  <si>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</si>
  <si>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</si>
  <si>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</si>
  <si>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</si>
  <si>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</si>
  <si>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</si>
  <si>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</si>
  <si>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</si>
  <si>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</si>
  <si>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</si>
  <si>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</si>
  <si>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</si>
  <si>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</si>
  <si>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</si>
  <si>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</si>
  <si>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</si>
  <si>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</si>
  <si>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</si>
  <si>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</si>
  <si>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</si>
  <si>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</si>
  <si>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</si>
  <si>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</si>
  <si>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</si>
  <si>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</si>
  <si>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</si>
  <si>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</si>
  <si>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</si>
  <si>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</si>
  <si>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</si>
  <si>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</si>
  <si>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</si>
  <si>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</si>
  <si>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</si>
  <si>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</si>
  <si>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</si>
  <si>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</si>
  <si>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</si>
  <si>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</si>
  <si>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</si>
  <si>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</si>
  <si>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</si>
  <si>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</si>
  <si>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</si>
  <si>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</si>
  <si>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</si>
  <si>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</si>
  <si>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</si>
  <si>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</si>
  <si>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</si>
  <si>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</si>
  <si>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</si>
  <si>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</si>
  <si>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</si>
  <si>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</si>
  <si>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</si>
  <si>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</si>
  <si>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</si>
  <si>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</si>
  <si>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</si>
  <si>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</si>
  <si>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</si>
  <si>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</si>
  <si>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</si>
  <si>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</si>
  <si>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</si>
  <si>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</si>
  <si>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</si>
  <si>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</si>
  <si>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</si>
  <si>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</si>
  <si>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</si>
  <si>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</si>
  <si>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</si>
  <si>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</si>
  <si>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</si>
  <si>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</si>
  <si>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</si>
  <si>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</si>
  <si>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</si>
  <si>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</si>
  <si>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</si>
  <si>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</si>
  <si>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</si>
  <si>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</si>
  <si>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</si>
  <si>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</si>
  <si>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</si>
  <si>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</si>
  <si>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</si>
  <si>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</si>
  <si>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</si>
  <si>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</si>
  <si>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</si>
  <si>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</si>
  <si>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</si>
  <si>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</si>
  <si>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</si>
  <si>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</si>
  <si>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</si>
  <si>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</si>
  <si>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</si>
  <si>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</si>
  <si>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</si>
  <si>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</si>
  <si>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</si>
  <si>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</si>
  <si>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</si>
  <si>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</si>
  <si>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</si>
  <si>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</si>
  <si>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</si>
  <si>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</si>
  <si>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</si>
  <si>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</si>
  <si>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</si>
  <si>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</si>
  <si>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</si>
  <si>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</si>
  <si>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</si>
  <si>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</si>
  <si>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</si>
  <si>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</si>
  <si>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</si>
  <si>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</si>
  <si>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</si>
  <si>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</si>
  <si>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</si>
  <si>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</si>
  <si>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</si>
  <si>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</si>
  <si>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</si>
  <si>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</si>
  <si>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</si>
  <si>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</si>
  <si>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</si>
  <si>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</si>
  <si>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</si>
  <si>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</si>
  <si>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</si>
  <si>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</si>
  <si>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</si>
  <si>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</si>
  <si>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</si>
  <si>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</si>
  <si>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</si>
  <si>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</si>
  <si>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</si>
  <si>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</si>
  <si>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</si>
  <si>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</si>
  <si>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</si>
  <si>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</si>
  <si>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</si>
  <si>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</si>
  <si>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</si>
  <si>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</si>
  <si>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</si>
  <si>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</si>
  <si>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</si>
  <si>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</si>
  <si>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</si>
  <si>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</si>
  <si>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</si>
  <si>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</si>
  <si>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</si>
  <si>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</si>
  <si>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</si>
  <si>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</si>
  <si>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</si>
  <si>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</si>
  <si>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</si>
  <si>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</si>
  <si>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</si>
  <si>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</si>
  <si>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</si>
  <si>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</si>
  <si>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</si>
  <si>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</si>
  <si>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</si>
  <si>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</si>
  <si>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</si>
  <si>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</si>
  <si>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</si>
  <si>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</si>
  <si>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</si>
  <si>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</si>
  <si>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</si>
  <si>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</si>
  <si>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</si>
  <si>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</si>
  <si>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</si>
  <si>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</si>
  <si>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</si>
  <si>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</si>
  <si>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</si>
  <si>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</si>
  <si>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</si>
  <si>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</si>
  <si>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</si>
  <si>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</si>
  <si>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</si>
  <si>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</si>
  <si>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</si>
  <si>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</si>
  <si>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</si>
  <si>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</si>
  <si>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</si>
  <si>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</si>
  <si>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</si>
  <si>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</si>
  <si>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</si>
  <si>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</si>
  <si>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</si>
  <si>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</si>
  <si>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</si>
  <si>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</si>
  <si>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</si>
  <si>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</si>
  <si>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</si>
  <si>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</si>
  <si>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</si>
  <si>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</si>
  <si>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</si>
  <si>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</si>
  <si>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</si>
  <si>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</si>
  <si>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</si>
  <si>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</si>
  <si>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</si>
  <si>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</si>
  <si>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</si>
  <si>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</si>
  <si>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</si>
  <si>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</si>
  <si>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</si>
  <si>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</si>
  <si>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</si>
  <si>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</si>
  <si>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</si>
  <si>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</si>
  <si>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</si>
  <si>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</si>
  <si>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</si>
  <si>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</si>
  <si>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</si>
  <si>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</si>
  <si>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</si>
  <si>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</si>
  <si>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</si>
  <si>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</si>
  <si>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</si>
  <si>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</si>
  <si>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</si>
  <si>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</si>
  <si>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</si>
  <si>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</si>
  <si>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</si>
  <si>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</si>
  <si>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</si>
  <si>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</si>
  <si>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</si>
  <si>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</si>
  <si>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</si>
  <si>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较好</t>
  </si>
  <si>
    <t>一般</t>
  </si>
  <si>
    <t>宗地形状较规则，但对宗地利用影响较小</t>
    <phoneticPr fontId="79" type="noConversion"/>
  </si>
  <si>
    <t>未包含在土地购买价格中</t>
  </si>
  <si>
    <t>估价对象所在区域基础设施水平较好</t>
    <phoneticPr fontId="25" type="noConversion"/>
  </si>
  <si>
    <t>该园区内无污染型企业，绿化情况较好，卫生条件较好，整体环境状况一般</t>
    <phoneticPr fontId="41"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</si>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</sst>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1176.69平方米。根据《房屋所有权证》[X京房权证怀字第029593号、X京房权证怀字第032079号、X京房权证怀其字第000681号]，估价对象建筑面积为3846.04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1176.69平方米。根据《房屋所有权证》[X京房权证怀字第029593号、X京房权证怀字第032079号、X京房权证怀其字第000681号]，估价对象规划建筑面积为3846.04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1817</v>
      </c>
    </row>
    <row r="21" spans="1:2" s="1595" customFormat="1">
      <c r="A21" s="1593" t="s">
        <v>1235</v>
      </c>
      <c r="B21" s="1594">
        <f ca="1">'预评函-2'!D7</f>
        <v>4724</v>
      </c>
    </row>
    <row r="22" spans="1:2" s="1595" customFormat="1">
      <c r="A22" s="1593" t="s">
        <v>1236</v>
      </c>
      <c r="B22" s="1594" t="str">
        <f ca="1">'预评函-2'!D6</f>
        <v>壹仟捌佰壹拾柒万元整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1817</v>
      </c>
    </row>
    <row r="31" spans="1:2" s="1595" customFormat="1">
      <c r="A31" s="1593" t="s">
        <v>1274</v>
      </c>
      <c r="B31" s="1594">
        <f ca="1">'预评函-2'!D15</f>
        <v>4724</v>
      </c>
    </row>
    <row r="32" spans="1:2" s="1595" customFormat="1">
      <c r="A32" s="1593" t="s">
        <v>1241</v>
      </c>
      <c r="B32" s="1594" t="str">
        <f ca="1">'预评函-2'!D14</f>
        <v>壹仟捌佰壹拾柒万元整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3846.04</v>
      </c>
    </row>
    <row r="44" spans="1:2" s="1595" customFormat="1">
      <c r="A44" s="1593" t="s">
        <v>1273</v>
      </c>
      <c r="B44" s="1594" t="str">
        <f>'预评函-3'!C2</f>
        <v>(分摊)土地面积</v>
      </c>
    </row>
    <row r="45" spans="1:2" s="1595" customFormat="1">
      <c r="A45" s="1593" t="s">
        <v>1245</v>
      </c>
      <c r="B45" s="1594">
        <f>'预评函-3'!C4</f>
        <v>1176.69</v>
      </c>
    </row>
    <row r="46" spans="1:2" s="1595" customFormat="1">
      <c r="A46" s="1593" t="s">
        <v>1271</v>
      </c>
      <c r="B46" s="1594" t="str">
        <f>'预评函-3'!D2</f>
        <v>出让国有建设用地使用权价值</v>
      </c>
    </row>
    <row r="47" spans="1:2" s="1595" customFormat="1">
      <c r="A47" s="1593" t="s">
        <v>1246</v>
      </c>
      <c r="B47" s="1594">
        <f ca="1">'预评函-3'!D4</f>
        <v>501</v>
      </c>
    </row>
    <row r="48" spans="1:2" s="1595" customFormat="1">
      <c r="A48" s="1593" t="s">
        <v>1247</v>
      </c>
      <c r="B48" s="1594">
        <f ca="1">'预评函-3'!E4</f>
        <v>1302</v>
      </c>
    </row>
    <row r="49" spans="1:2" s="1595" customFormat="1">
      <c r="A49" s="1593" t="s">
        <v>1248</v>
      </c>
      <c r="B49" s="1594" t="str">
        <f ca="1">'预评函-3'!D5</f>
        <v>伍佰零壹万元整</v>
      </c>
    </row>
    <row r="50" spans="1:2" s="1595" customFormat="1">
      <c r="A50" s="1593" t="s">
        <v>1272</v>
      </c>
      <c r="B50" s="1594" t="str">
        <f>'预评函-3'!F2</f>
        <v>在建建筑物价值</v>
      </c>
    </row>
    <row r="51" spans="1:2" s="1595" customFormat="1">
      <c r="A51" s="1593" t="s">
        <v>1249</v>
      </c>
      <c r="B51" s="1594">
        <f ca="1">'预评函-3'!F4</f>
        <v>1316</v>
      </c>
    </row>
    <row r="52" spans="1:2" s="1595" customFormat="1">
      <c r="A52" s="1593" t="s">
        <v>1250</v>
      </c>
      <c r="B52" s="1594">
        <f ca="1">'预评函-3'!G4</f>
        <v>3422</v>
      </c>
    </row>
    <row r="53" spans="1:2" s="1595" customFormat="1">
      <c r="A53" s="1593" t="s">
        <v>1278</v>
      </c>
      <c r="B53" s="1594" t="str">
        <f ca="1">'预评函-3'!F5</f>
        <v>壹仟叁佰壹拾陆万元整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0"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23"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24"/>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30"/>
      <c r="C16" s="3031"/>
      <c r="D16" s="3032"/>
      <c r="E16" s="2084" t="s">
        <v>1802</v>
      </c>
      <c r="F16" s="3033"/>
      <c r="G16" s="3034"/>
      <c r="H16" s="3034"/>
      <c r="I16" s="3035"/>
      <c r="J16" s="2031"/>
      <c r="K16" s="2081"/>
      <c r="L16" s="2082"/>
      <c r="M16" s="2082"/>
      <c r="N16" s="2083"/>
      <c r="O16" s="2082"/>
      <c r="P16" s="2083"/>
      <c r="Q16" s="2031"/>
      <c r="R16" s="2031"/>
    </row>
    <row r="17" spans="1:22" ht="32.25" customHeight="1">
      <c r="A17" s="2085" t="s">
        <v>1803</v>
      </c>
      <c r="B17" s="2037" t="s">
        <v>1804</v>
      </c>
      <c r="C17" s="1056">
        <f>'数据-汇总表'!E3</f>
        <v>3846.04</v>
      </c>
      <c r="D17" s="2086" t="s">
        <v>1805</v>
      </c>
      <c r="E17" s="3036" t="s">
        <v>3098</v>
      </c>
      <c r="F17" s="3037"/>
      <c r="G17" s="3037"/>
      <c r="H17" s="3037"/>
      <c r="I17" s="3038"/>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1176.69</v>
      </c>
      <c r="D18" s="2089" t="s">
        <v>1805</v>
      </c>
      <c r="E18" s="3039" t="s">
        <v>3099</v>
      </c>
      <c r="F18" s="3040"/>
      <c r="G18" s="3040"/>
      <c r="H18" s="3040"/>
      <c r="I18" s="3041"/>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6" t="s">
        <v>1811</v>
      </c>
      <c r="C20" s="3027"/>
      <c r="D20" s="3028" t="s">
        <v>1812</v>
      </c>
      <c r="E20" s="3029"/>
      <c r="F20" s="2096" t="s">
        <v>1813</v>
      </c>
      <c r="G20" s="2044"/>
      <c r="H20" s="2044"/>
      <c r="I20" s="2044"/>
      <c r="J20" s="2044"/>
      <c r="K20" s="3025"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3"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3"/>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3"/>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4"/>
      <c r="B30" s="2037" t="s">
        <v>1830</v>
      </c>
      <c r="C30" s="3015"/>
      <c r="D30" s="301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7"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8"/>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12" t="s">
        <v>1840</v>
      </c>
      <c r="T34" s="2133" t="str">
        <f>NUMBERSTRING(7-K34,1)&amp;"通"</f>
        <v>七通</v>
      </c>
      <c r="U34" s="2031"/>
      <c r="V34" s="2031"/>
    </row>
    <row r="35" spans="1:22" ht="18" customHeight="1">
      <c r="A35" s="2134"/>
      <c r="B35" s="3019" t="s">
        <v>1841</v>
      </c>
      <c r="C35" s="3019"/>
      <c r="D35" s="3019"/>
      <c r="E35" s="301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6026.88</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3846.04</v>
      </c>
      <c r="BA5" s="18">
        <f t="shared" si="1"/>
        <v>3846.04</v>
      </c>
      <c r="BB5" s="18">
        <f t="shared" si="1"/>
        <v>0</v>
      </c>
      <c r="BC5" s="18">
        <f t="shared" si="1"/>
        <v>3846.04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6026.88</v>
      </c>
      <c r="F6" s="16" t="s">
        <v>1</v>
      </c>
      <c r="G6" s="16" t="s">
        <v>2</v>
      </c>
      <c r="H6" s="20">
        <f>SUMIF(I$12:AB$12,"总值",I6:AB6)</f>
        <v>6026.88</v>
      </c>
      <c r="I6" s="16">
        <f t="shared" ref="I6:AB6" si="2">ROUND($A$3*I5/$B$3,2)</f>
        <v>0</v>
      </c>
      <c r="J6" s="16">
        <f t="shared" si="2"/>
        <v>0</v>
      </c>
      <c r="K6" s="16">
        <f t="shared" si="2"/>
        <v>6026.88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1176.69</v>
      </c>
      <c r="AZ6" s="16" t="s">
        <v>3</v>
      </c>
      <c r="BA6" s="16">
        <f>ROUND($AY$6*BA5/$AZ$5,2)</f>
        <v>1176.69</v>
      </c>
      <c r="BB6" s="16">
        <f>ROUND($AY$6*BB5/$AZ$5,2)</f>
        <v>0</v>
      </c>
      <c r="BC6" s="16">
        <f t="shared" ref="BC6:BH6" si="4">ROUND($AY$6*BC5/$AZ$5,2)</f>
        <v>1176.69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476.58</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476.58</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700.11</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700.11</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3050</v>
      </c>
      <c r="E15" s="16">
        <f>IF($C$3="是",ROUND($A$3*G15/$B$3,2),ROUND($A$3*(G15-AT15)/$B$3,2))</f>
        <v>1371.9</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3050</v>
      </c>
      <c r="E16" s="16">
        <f>IF($C$3="是",ROUND($A$3*G16/$B$3,2),ROUND($A$3*(G16-AT16)/$B$3,2))</f>
        <v>1117.4100000000001</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3050</v>
      </c>
      <c r="E17" s="16">
        <f>IF($C$3="是",ROUND($A$3*G17/$B$3,2),ROUND($A$3*(G17-AT17)/$B$3,2))</f>
        <v>1115.0999999999999</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3050</v>
      </c>
      <c r="E18" s="35">
        <f t="shared" ref="E18:E112" si="8">IF($C$3="是",ROUND($A$3*G18/$B$3,2),ROUND($A$3*(G18-AT18)/$B$3,2))</f>
        <v>747.26</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3050</v>
      </c>
      <c r="E19" s="35">
        <f t="shared" si="8"/>
        <v>498.51</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v>30869.02</v>
      </c>
      <c r="C23" s="34">
        <f>B23*C24/B24</f>
        <v>6026.8849291080051</v>
      </c>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30869.02</v>
      </c>
      <c r="AX23" s="1797">
        <f t="shared" si="14"/>
        <v>6026.8849291080051</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v>19698.98</v>
      </c>
      <c r="C24" s="34">
        <v>3846.04</v>
      </c>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19698.98</v>
      </c>
      <c r="AX24" s="1797">
        <f t="shared" si="14"/>
        <v>3846.04</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f>B24/B23</f>
        <v>0.63814724276961166</v>
      </c>
      <c r="C25" s="34">
        <f>C24/C23</f>
        <v>0.63814724276961166</v>
      </c>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0.63814724276961166</v>
      </c>
      <c r="AX25" s="1797">
        <f t="shared" si="14"/>
        <v>0.63814724276961166</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3" t="s">
        <v>1937</v>
      </c>
      <c r="B2" s="3053"/>
      <c r="C2" s="3053"/>
      <c r="D2" s="969" t="s">
        <v>1913</v>
      </c>
      <c r="E2" s="2226" t="s">
        <v>1914</v>
      </c>
      <c r="F2" s="1394"/>
      <c r="G2" s="2227"/>
      <c r="H2" s="2228"/>
      <c r="I2" s="2229" t="s">
        <v>1938</v>
      </c>
      <c r="J2" s="1394"/>
      <c r="K2" s="1394"/>
      <c r="L2" s="1394"/>
      <c r="M2" s="1394"/>
      <c r="N2" s="1429"/>
      <c r="O2" s="1394"/>
      <c r="P2" s="1394"/>
    </row>
    <row r="3" spans="1:16" ht="15.75" thickBot="1">
      <c r="A3" s="3054" t="s">
        <v>1911</v>
      </c>
      <c r="B3" s="3054"/>
      <c r="C3" s="3054"/>
      <c r="D3" s="46">
        <f>'数据-基础表'!AY6</f>
        <v>1176.69</v>
      </c>
      <c r="E3" s="46">
        <f>'数据-基础表'!AZ5</f>
        <v>3846.04</v>
      </c>
      <c r="F3" s="1394"/>
      <c r="G3" s="1401"/>
      <c r="H3" s="1249" t="s">
        <v>1912</v>
      </c>
      <c r="I3" s="55">
        <f>ROUND('数据-基础表'!B3/'数据-基础表'!A3,2)</f>
        <v>3.27</v>
      </c>
      <c r="J3" s="1394"/>
      <c r="K3" s="1394"/>
      <c r="L3" s="1394"/>
      <c r="M3" s="1394"/>
      <c r="N3" s="1429"/>
      <c r="O3" s="1394"/>
      <c r="P3" s="1394"/>
    </row>
    <row r="4" spans="1:16" ht="15">
      <c r="A4" s="3055"/>
      <c r="B4" s="3056"/>
      <c r="C4" s="3057"/>
      <c r="D4" s="2230" t="s">
        <v>1913</v>
      </c>
      <c r="E4" s="2231" t="s">
        <v>1914</v>
      </c>
      <c r="F4" s="1394"/>
      <c r="G4" s="2232" t="s">
        <v>1939</v>
      </c>
      <c r="H4" s="1249" t="s">
        <v>1919</v>
      </c>
      <c r="I4" s="55">
        <f>ROUND(SUMIF('数据-基础表'!I9:AS9,"地上",'数据-基础表'!I5:AS5)/'数据-基础表'!A3,2)</f>
        <v>3.27</v>
      </c>
      <c r="J4" s="1394"/>
      <c r="K4" s="1394"/>
      <c r="L4" s="1394"/>
      <c r="M4" s="1394"/>
      <c r="N4" s="1429"/>
      <c r="O4" s="1394"/>
      <c r="P4" s="1394"/>
    </row>
    <row r="5" spans="1:16">
      <c r="A5" s="47" t="s">
        <v>1915</v>
      </c>
      <c r="B5" s="3058" t="s">
        <v>1916</v>
      </c>
      <c r="C5" s="3058"/>
      <c r="D5" s="48">
        <f>ROUND($D$3*E5/$E$3,2)</f>
        <v>0</v>
      </c>
      <c r="E5" s="49">
        <f>SUMIF('数据-基础表'!$11:$11,"住宅",'数据-基础表'!$5:$5)</f>
        <v>0</v>
      </c>
      <c r="F5" s="1394"/>
      <c r="G5" s="1401"/>
      <c r="H5" s="1249" t="s">
        <v>1912</v>
      </c>
      <c r="I5" s="55">
        <f>ROUND(E31/D31,2)</f>
        <v>3.27</v>
      </c>
      <c r="J5" s="1394"/>
      <c r="K5" s="1394"/>
      <c r="L5" s="1394"/>
      <c r="M5" s="1394"/>
      <c r="N5" s="1394"/>
      <c r="O5" s="1394"/>
      <c r="P5" s="1394"/>
    </row>
    <row r="6" spans="1:16" ht="15" thickBot="1">
      <c r="A6" s="2233"/>
      <c r="B6" s="3058" t="s">
        <v>1917</v>
      </c>
      <c r="C6" s="3058"/>
      <c r="D6" s="48">
        <f>ROUND($D$3*E6/$E$3,2)</f>
        <v>1176.69</v>
      </c>
      <c r="E6" s="49">
        <f>E3-E5</f>
        <v>3846.04</v>
      </c>
      <c r="F6" s="1394"/>
      <c r="G6" s="2234" t="s">
        <v>1918</v>
      </c>
      <c r="H6" s="1401" t="s">
        <v>1919</v>
      </c>
      <c r="I6" s="941">
        <f>ROUND(F31/D31,2)</f>
        <v>3.27</v>
      </c>
      <c r="J6" s="1394"/>
      <c r="K6" s="1394"/>
      <c r="L6" s="1394"/>
      <c r="M6" s="1394"/>
      <c r="N6" s="1394"/>
      <c r="O6" s="1394"/>
      <c r="P6" s="1394"/>
    </row>
    <row r="7" spans="1:16" ht="15">
      <c r="A7" s="3050"/>
      <c r="B7" s="3051"/>
      <c r="C7" s="3052"/>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1176.69</v>
      </c>
      <c r="E8" s="51">
        <f>SUMIF('数据-基础表'!BB10:BK10,"地上",'数据-基础表'!BB5:BK5)</f>
        <v>3846.04</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1176.69</v>
      </c>
      <c r="E16" s="53">
        <f>SUM(E8:E15)</f>
        <v>3846.04</v>
      </c>
      <c r="F16" s="1394"/>
      <c r="G16" s="2236"/>
      <c r="H16" s="2239" t="s">
        <v>1941</v>
      </c>
      <c r="I16" s="2240"/>
      <c r="J16" s="1394"/>
      <c r="K16" s="3047" t="s">
        <v>1941</v>
      </c>
      <c r="L16" s="3048"/>
      <c r="M16" s="3048"/>
      <c r="N16" s="3048"/>
      <c r="O16" s="3048"/>
      <c r="P16" s="3049"/>
    </row>
    <row r="17" spans="1:19" ht="15">
      <c r="A17" s="2241" t="s">
        <v>1942</v>
      </c>
      <c r="B17" s="2242" t="s">
        <v>1943</v>
      </c>
      <c r="C17" s="2243" t="s">
        <v>1944</v>
      </c>
      <c r="D17" s="2244" t="s">
        <v>1932</v>
      </c>
      <c r="E17" s="2245" t="s">
        <v>1933</v>
      </c>
      <c r="F17" s="2246"/>
      <c r="G17" s="2247"/>
      <c r="H17" s="2248" t="s">
        <v>1945</v>
      </c>
      <c r="I17" s="2249" t="s">
        <v>1930</v>
      </c>
      <c r="J17" s="1394"/>
      <c r="K17" s="3044" t="s">
        <v>1946</v>
      </c>
      <c r="L17" s="3045"/>
      <c r="M17" s="3046"/>
      <c r="N17" s="3044" t="s">
        <v>1947</v>
      </c>
      <c r="O17" s="3045"/>
      <c r="P17" s="3046"/>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1176.69</v>
      </c>
      <c r="E20" s="56">
        <f t="shared" si="1"/>
        <v>3846.04</v>
      </c>
      <c r="F20" s="57">
        <f>'数据-基础表'!K13+'数据-基础表'!K14</f>
        <v>3846.04</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1176.69</v>
      </c>
      <c r="S20" s="1250">
        <f t="shared" si="5"/>
        <v>3846.04</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1176.69</v>
      </c>
      <c r="E27" s="1396">
        <f>IF(SUM(E19:E26)='数据-基础表'!BA5,SUM(E19:E26),IF(F27="地上面积有误","面积有误","地下面积有误"))</f>
        <v>3846.04</v>
      </c>
      <c r="F27" s="1395">
        <f>IF(SUM(F19:F26)=E8,SUM(F19:F26),"地上面积有误")</f>
        <v>3846.04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1176.69</v>
      </c>
      <c r="S27" s="1249">
        <f>IF(SUM(S19:S26)=$E$3,SUM(S19:S26),SUM(S19:S26)&amp;"误差"&amp;ROUND(SUM(S19:S26)-E3,2))</f>
        <v>3846.04</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1176.69</v>
      </c>
      <c r="E31" s="728">
        <f>E27+E30</f>
        <v>3846.04</v>
      </c>
      <c r="F31" s="729">
        <f>F27+F30</f>
        <v>3846.04</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3846.04</v>
      </c>
      <c r="L7" s="2955">
        <f>Sheet1!H2</f>
        <v>2000</v>
      </c>
      <c r="M7" s="75">
        <f t="shared" si="0"/>
        <v>769</v>
      </c>
      <c r="N7" s="2954">
        <f>Sheet1!F2</f>
        <v>0.94399999999999995</v>
      </c>
      <c r="O7" s="75" t="str">
        <f t="shared" ref="O7:O14" si="3">IF($N$5="成新度","——",ROUND(M7*N7,0))</f>
        <v>——</v>
      </c>
      <c r="P7" s="76" t="str">
        <f t="shared" ref="P7:P14" si="4">IF($N$5="成新度","——",M7-O7)</f>
        <v>——</v>
      </c>
      <c r="Q7" s="2956">
        <v>0.1</v>
      </c>
      <c r="R7" s="77">
        <f ca="1">SUMIF('数据-汇总表'!C$19:C$33,A7,'数据-汇总表'!R$19:R$27)</f>
        <v>1176.69</v>
      </c>
      <c r="S7" s="54">
        <f>IF('数据-汇总表'!$I$17="按面积比例",SUMIF('数据-汇总表'!C$19:C$33,A7,'数据-汇总表'!K$19:K$33),SUMIF('数据-汇总表'!C$19:C$33,A7,'数据-汇总表'!N$19:N$33))</f>
        <v>0</v>
      </c>
      <c r="T7" s="1445">
        <f t="shared" ref="T7:T13" si="5">ROUND($L$14*S7/10000,0)</f>
        <v>0</v>
      </c>
      <c r="U7" s="78">
        <v>1.1000000000000001</v>
      </c>
      <c r="V7" s="79">
        <v>0.02</v>
      </c>
      <c r="W7" s="79">
        <v>0.1</v>
      </c>
      <c r="X7" s="1263"/>
      <c r="Y7" s="80">
        <f>N7</f>
        <v>0.94399999999999995</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2114</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3846.04</v>
      </c>
      <c r="L16" s="102">
        <f>ROUND(M16*10000/SUM(K6:K14),0)</f>
        <v>1999</v>
      </c>
      <c r="M16" s="102">
        <f>SUM(M6:M14)</f>
        <v>769</v>
      </c>
      <c r="N16" s="103">
        <f>ROUND(SUMPRODUCT(M6:M14,N6:N14)/M16,3)</f>
        <v>0.94399999999999995</v>
      </c>
      <c r="O16" s="102">
        <f>SUM(O6:O14)</f>
        <v>0</v>
      </c>
      <c r="P16" s="102">
        <f>SUM(P6:P14)</f>
        <v>0</v>
      </c>
      <c r="Q16" s="104">
        <f>ROUND(SUMPRODUCT(Q6:Q13,K6:K13)/SUMPRODUCT((Q6:Q13&gt;0)*(K6:K13)),2)</f>
        <v>0.1</v>
      </c>
      <c r="R16" s="1257">
        <f ca="1">SUM(R6:R13)</f>
        <v>1176.69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46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8" sqref="C18"/>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9" t="s">
        <v>2082</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3106</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3107</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估价对象所在区域基础设施水平较好</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3846.04</v>
      </c>
      <c r="C1" s="1744"/>
      <c r="D1" s="1744"/>
      <c r="E1" s="1744"/>
      <c r="F1" s="1744"/>
      <c r="G1" s="1742"/>
    </row>
    <row r="2" spans="1:10" ht="16.5">
      <c r="A2" s="1745" t="s">
        <v>1353</v>
      </c>
      <c r="B2" s="1745">
        <f>SUM(C14:C23)</f>
        <v>1176.69</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1817</v>
      </c>
      <c r="C5" s="1745">
        <f ca="1">ROUND(B5*10000/$B$1,0)</f>
        <v>4724</v>
      </c>
      <c r="D5" s="1745">
        <f ca="1">ROUND(B5*10000/$B$2,0)</f>
        <v>15442</v>
      </c>
      <c r="E5" s="1744"/>
      <c r="F5" s="1742"/>
      <c r="G5" s="1742"/>
    </row>
    <row r="6" spans="1:10" ht="16.5">
      <c r="A6" s="1745" t="s">
        <v>1356</v>
      </c>
      <c r="B6" s="1745">
        <f ca="1">SUM(G14:G23)</f>
        <v>1817</v>
      </c>
      <c r="C6" s="1745">
        <f ca="1">ROUND(B6*10000/$B$1,0)</f>
        <v>4724</v>
      </c>
      <c r="D6" s="1745">
        <f ca="1">ROUND(B6*10000/$B$2,0)</f>
        <v>15442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3846.04</v>
      </c>
      <c r="C14" s="1743">
        <f>结果表!C118</f>
        <v>1176.69</v>
      </c>
      <c r="D14" s="1743">
        <f ca="1">结果表!H118</f>
        <v>1817</v>
      </c>
      <c r="E14" s="1743">
        <f ca="1">ROUND(D14*10000/B14,0)</f>
        <v>4724</v>
      </c>
      <c r="F14" s="1743">
        <f ca="1">ROUND(D14*10000/C14,0)</f>
        <v>15442</v>
      </c>
      <c r="G14" s="1743">
        <f ca="1">结果表!D122</f>
        <v>1817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094" t="str">
        <f>项目基本情况!S2</f>
        <v>北京市怀柔区雁栖经济开发区乐园南一街7号1号楼等库房、辅助用房、车间、办公楼用房出让国有建设用地使用权及在建建筑物房地产</v>
      </c>
      <c r="B2" s="3095"/>
      <c r="C2" s="3095"/>
      <c r="D2" s="3095"/>
      <c r="E2" s="3095"/>
      <c r="F2" s="3095"/>
      <c r="G2" s="3095"/>
      <c r="H2" s="3095"/>
      <c r="I2" s="3096"/>
    </row>
    <row r="3" spans="1:12" ht="12.75">
      <c r="A3" s="3098" t="s">
        <v>2120</v>
      </c>
      <c r="B3" s="3099"/>
      <c r="C3" s="3099"/>
      <c r="D3" s="3099"/>
      <c r="E3" s="3099"/>
      <c r="F3" s="3099"/>
      <c r="G3" s="3099"/>
      <c r="H3" s="3099"/>
      <c r="I3" s="3099"/>
    </row>
    <row r="4" spans="1:12" ht="14.25">
      <c r="A4" s="2423" t="s">
        <v>2121</v>
      </c>
      <c r="B4" s="2424" t="s">
        <v>2122</v>
      </c>
      <c r="C4" s="2425" t="s">
        <v>3066</v>
      </c>
      <c r="D4" s="2425" t="s">
        <v>3074</v>
      </c>
      <c r="E4" s="3091" t="s">
        <v>2123</v>
      </c>
      <c r="F4" s="3092"/>
      <c r="G4" s="3092"/>
      <c r="H4" s="3092"/>
      <c r="I4" s="310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74" t="s">
        <v>2124</v>
      </c>
      <c r="B5" s="3012">
        <v>25</v>
      </c>
      <c r="C5" s="3077"/>
      <c r="D5" s="3097"/>
      <c r="E5" s="140" t="s">
        <v>2125</v>
      </c>
      <c r="F5" s="2427"/>
      <c r="G5" s="2427"/>
      <c r="H5" s="2427"/>
      <c r="I5" s="1833"/>
    </row>
    <row r="6" spans="1:12" ht="12.75">
      <c r="A6" s="3074"/>
      <c r="B6" s="3012"/>
      <c r="C6" s="3078"/>
      <c r="D6" s="3097"/>
      <c r="E6" s="140" t="s">
        <v>2126</v>
      </c>
      <c r="F6" s="2427"/>
      <c r="G6" s="2427"/>
      <c r="H6" s="2427"/>
      <c r="I6" s="1833"/>
    </row>
    <row r="7" spans="1:12" ht="12.75">
      <c r="A7" s="3074"/>
      <c r="B7" s="3012"/>
      <c r="C7" s="3079"/>
      <c r="D7" s="3097"/>
      <c r="E7" s="140" t="s">
        <v>2127</v>
      </c>
      <c r="F7" s="2427"/>
      <c r="G7" s="2427"/>
      <c r="H7" s="2427"/>
      <c r="I7" s="1833"/>
    </row>
    <row r="8" spans="1:12" ht="12.75">
      <c r="A8" s="3074" t="s">
        <v>2128</v>
      </c>
      <c r="B8" s="3012">
        <v>15</v>
      </c>
      <c r="C8" s="3077"/>
      <c r="D8" s="3097"/>
      <c r="E8" s="140" t="s">
        <v>2129</v>
      </c>
      <c r="F8" s="2427"/>
      <c r="G8" s="2427"/>
      <c r="H8" s="2427"/>
      <c r="I8" s="1833"/>
    </row>
    <row r="9" spans="1:12" ht="12.75">
      <c r="A9" s="3074"/>
      <c r="B9" s="3012"/>
      <c r="C9" s="3079"/>
      <c r="D9" s="3097"/>
      <c r="E9" s="140" t="s">
        <v>2130</v>
      </c>
      <c r="F9" s="2427"/>
      <c r="G9" s="2427"/>
      <c r="H9" s="2427"/>
      <c r="I9" s="1833"/>
    </row>
    <row r="10" spans="1:12" ht="12.75">
      <c r="A10" s="3074" t="s">
        <v>2131</v>
      </c>
      <c r="B10" s="3012">
        <v>15</v>
      </c>
      <c r="C10" s="3077"/>
      <c r="D10" s="3097"/>
      <c r="E10" s="140" t="s">
        <v>2132</v>
      </c>
      <c r="F10" s="2427"/>
      <c r="G10" s="2427"/>
      <c r="H10" s="2427"/>
      <c r="I10" s="1833"/>
    </row>
    <row r="11" spans="1:12" ht="12.75">
      <c r="A11" s="3074"/>
      <c r="B11" s="3012"/>
      <c r="C11" s="3079"/>
      <c r="D11" s="3097"/>
      <c r="E11" s="140" t="s">
        <v>2133</v>
      </c>
      <c r="F11" s="2427"/>
      <c r="G11" s="2427"/>
      <c r="H11" s="2427"/>
      <c r="I11" s="1833"/>
    </row>
    <row r="12" spans="1:12" ht="12.75">
      <c r="A12" s="3074" t="s">
        <v>2134</v>
      </c>
      <c r="B12" s="3012">
        <v>15</v>
      </c>
      <c r="C12" s="3077"/>
      <c r="D12" s="3097"/>
      <c r="E12" s="140" t="s">
        <v>2135</v>
      </c>
      <c r="F12" s="2427"/>
      <c r="G12" s="2427"/>
      <c r="H12" s="2427"/>
      <c r="I12" s="1833"/>
    </row>
    <row r="13" spans="1:12" ht="12.75">
      <c r="A13" s="3074"/>
      <c r="B13" s="3012"/>
      <c r="C13" s="3079"/>
      <c r="D13" s="3097"/>
      <c r="E13" s="140" t="s">
        <v>2136</v>
      </c>
      <c r="F13" s="2427"/>
      <c r="G13" s="2427"/>
      <c r="H13" s="2427"/>
      <c r="I13" s="1833"/>
    </row>
    <row r="14" spans="1:12" ht="12.75">
      <c r="A14" s="3074" t="s">
        <v>2137</v>
      </c>
      <c r="B14" s="3012">
        <v>30</v>
      </c>
      <c r="C14" s="3077">
        <v>55</v>
      </c>
      <c r="D14" s="3097">
        <v>45</v>
      </c>
      <c r="E14" s="140" t="s">
        <v>2138</v>
      </c>
      <c r="F14" s="2427"/>
      <c r="G14" s="2427"/>
      <c r="H14" s="2427"/>
      <c r="I14" s="1833"/>
    </row>
    <row r="15" spans="1:12" ht="12.75">
      <c r="A15" s="3074"/>
      <c r="B15" s="3012"/>
      <c r="C15" s="3078"/>
      <c r="D15" s="3097"/>
      <c r="E15" s="140" t="s">
        <v>2139</v>
      </c>
      <c r="F15" s="2427"/>
      <c r="G15" s="2427"/>
      <c r="H15" s="2427"/>
      <c r="I15" s="1833"/>
    </row>
    <row r="16" spans="1:12" ht="12.75">
      <c r="A16" s="3074"/>
      <c r="B16" s="3012"/>
      <c r="C16" s="3079"/>
      <c r="D16" s="3097"/>
      <c r="E16" s="140" t="s">
        <v>2140</v>
      </c>
      <c r="F16" s="2427"/>
      <c r="G16" s="2427"/>
      <c r="H16" s="2427"/>
      <c r="I16" s="1833"/>
    </row>
    <row r="17" spans="1:35" ht="15">
      <c r="A17" s="2428" t="s">
        <v>2141</v>
      </c>
      <c r="B17" s="64"/>
      <c r="C17" s="141">
        <f>SUM(C5:C16)</f>
        <v>55</v>
      </c>
      <c r="D17" s="141">
        <f>SUM(D5:D16)</f>
        <v>45</v>
      </c>
      <c r="E17" s="138"/>
      <c r="F17" s="138"/>
      <c r="G17" s="138"/>
      <c r="H17" s="138"/>
      <c r="I17" s="138"/>
      <c r="K17" s="2426"/>
      <c r="L17" s="2429" t="s">
        <v>2142</v>
      </c>
      <c r="M17" s="2429" t="s">
        <v>2143</v>
      </c>
    </row>
    <row r="18" spans="1:35" ht="15.75" thickBot="1">
      <c r="A18" s="2430" t="s">
        <v>2144</v>
      </c>
      <c r="B18" s="2431"/>
      <c r="C18" s="142">
        <f>ROUND(C17/SUM(C17:D17),2)</f>
        <v>0.55000000000000004</v>
      </c>
      <c r="D18" s="142">
        <f>1-C18</f>
        <v>0.44999999999999996</v>
      </c>
      <c r="E18" s="138"/>
      <c r="F18" s="138"/>
      <c r="G18" s="138"/>
      <c r="H18" s="138"/>
      <c r="I18" s="138"/>
      <c r="K18" s="2426" t="s">
        <v>2145</v>
      </c>
      <c r="L18" s="2426">
        <f>IF(C1="",'数据-汇总表'!E3,SUMIF(项目类型,C1,'数据-汇总表'!E17:E26)+SUMIF(项目类型,C1,'数据-汇总表'!I17:I26))</f>
        <v>3846.04</v>
      </c>
      <c r="M18" s="2426">
        <f>IF(C1="",'数据-汇总表'!E3,SUMIF(项目类型,C1,'数据-汇总表'!E17:E26))</f>
        <v>3846.04</v>
      </c>
    </row>
    <row r="19" spans="1:35" ht="15">
      <c r="A19" s="2432" t="s">
        <v>2146</v>
      </c>
      <c r="B19" s="2433" t="s">
        <v>2147</v>
      </c>
      <c r="C19" s="143">
        <f ca="1">SUMIF(INDIRECT("'"&amp;C4&amp;"'"&amp;"!A:A"),结果表!B19,INDIRECT("'"&amp;C4&amp;"'"&amp;"!B:B"))</f>
        <v>2114</v>
      </c>
      <c r="D19" s="143">
        <f ca="1">SUMIF(INDIRECT("'"&amp;D4&amp;"'"&amp;"!A:A"),结果表!B19,INDIRECT("'"&amp;D4&amp;"'"&amp;"!B:B"))</f>
        <v>1455</v>
      </c>
      <c r="E19" s="2432" t="s">
        <v>2148</v>
      </c>
      <c r="F19" s="2433" t="s">
        <v>2147</v>
      </c>
      <c r="G19" s="144">
        <f ca="1">ROUND(C19*$C$18+D19*$D$18,0)</f>
        <v>1817</v>
      </c>
      <c r="H19" s="2434" t="s">
        <v>2149</v>
      </c>
      <c r="I19" s="138"/>
      <c r="K19" s="2426" t="s">
        <v>2150</v>
      </c>
      <c r="L19" s="2426">
        <f>IF(C1="",'数据-汇总表'!D3,SUMIF(项目类型,C1,'数据-汇总表'!D17:D26)+SUMIF(项目类型,C1,'数据-汇总表'!H17:H27))</f>
        <v>1176.69</v>
      </c>
      <c r="M19" s="2426">
        <f>IF(C1="",'数据-汇总表'!D3,SUMIF(项目类型,C1,'数据-汇总表'!D17:D26))</f>
        <v>1176.69</v>
      </c>
    </row>
    <row r="20" spans="1:35" ht="15">
      <c r="A20" s="2435"/>
      <c r="B20" s="1249" t="s">
        <v>2151</v>
      </c>
      <c r="C20" s="145">
        <f ca="1">SUMIF(INDIRECT("'"&amp;C4&amp;"'"&amp;"!A:A"),结果表!B20,INDIRECT("'"&amp;C4&amp;"'"&amp;"!B:B"))</f>
        <v>5497</v>
      </c>
      <c r="D20" s="146">
        <f ca="1">SUMIF(INDIRECT("'"&amp;D4&amp;"'"&amp;"!A:A"),结果表!B20,INDIRECT("'"&amp;D4&amp;"'"&amp;"!B:B"))</f>
        <v>3783</v>
      </c>
      <c r="E20" s="2435"/>
      <c r="F20" s="1249" t="s">
        <v>2151</v>
      </c>
      <c r="G20" s="147">
        <f ca="1">ROUND(C20*$C$18+D20*$D$18,0)</f>
        <v>4726</v>
      </c>
      <c r="H20" s="982" t="s">
        <v>2152</v>
      </c>
      <c r="I20" s="138"/>
    </row>
    <row r="21" spans="1:35" ht="15" customHeight="1" thickBot="1">
      <c r="A21" s="1002"/>
      <c r="B21" s="2436" t="s">
        <v>2153</v>
      </c>
      <c r="C21" s="788">
        <f ca="1">ROUND(C19*10000/L19,0)</f>
        <v>17966</v>
      </c>
      <c r="D21" s="789">
        <f ca="1">ROUND(D19*10000/L19,0)</f>
        <v>12365</v>
      </c>
      <c r="E21" s="1002"/>
      <c r="F21" s="2436" t="s">
        <v>2153</v>
      </c>
      <c r="G21" s="148">
        <f ca="1">ROUND(G19*10000/L19,0)</f>
        <v>15442</v>
      </c>
      <c r="H21" s="2437" t="s">
        <v>2152</v>
      </c>
      <c r="I21" s="138"/>
    </row>
    <row r="22" spans="1:35" ht="15" thickBot="1">
      <c r="A22" s="2280" t="s">
        <v>2154</v>
      </c>
      <c r="B22" s="2438"/>
      <c r="C22" s="2439"/>
      <c r="D22" s="790">
        <f ca="1">IF(C19&lt;D19,D19/C19-1,C19/D19-1)</f>
        <v>0.45292096219931266</v>
      </c>
      <c r="E22" s="138"/>
      <c r="F22" s="138"/>
      <c r="G22" s="138"/>
      <c r="H22" s="138"/>
      <c r="I22" s="138"/>
    </row>
    <row r="23" spans="1:35" ht="13.5" thickBot="1">
      <c r="A23" s="2416"/>
      <c r="B23" s="2416"/>
      <c r="C23" s="2416"/>
      <c r="D23" s="2416"/>
      <c r="E23" s="138"/>
      <c r="F23" s="138"/>
      <c r="G23" s="138"/>
      <c r="H23" s="138"/>
      <c r="I23" s="138"/>
    </row>
    <row r="24" spans="1:35" ht="14.25">
      <c r="A24" s="3068" t="s">
        <v>2155</v>
      </c>
      <c r="B24" s="2433" t="s">
        <v>2147</v>
      </c>
      <c r="C24" s="144">
        <f>IF(B30=0,0,D30)</f>
        <v>0</v>
      </c>
      <c r="D24" s="2440"/>
      <c r="E24" s="138"/>
      <c r="F24" s="138"/>
      <c r="G24" s="138"/>
      <c r="H24" s="138"/>
      <c r="I24" s="138"/>
    </row>
    <row r="25" spans="1:35" ht="14.25">
      <c r="A25" s="3069"/>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1817</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501</v>
      </c>
      <c r="D34" s="1057">
        <f ca="1">IF(C33="自定义",ROUND(C34/C32,3),IF(C33="收益比率",SUMIF(INDIRECT("'"&amp;D33&amp;"'"&amp;"!b:b"),"土地收益比率",INDIRECT("'"&amp;D33&amp;"'"&amp;"!c:c")),SUMIF(INDIRECT("'"&amp;D33&amp;"'"&amp;"!b:b"),"土地成本比率",INDIRECT("'"&amp;D33&amp;"'"&amp;"!c:c"))))</f>
        <v>0.27600000000000002</v>
      </c>
      <c r="E34" s="2455" t="s">
        <v>2166</v>
      </c>
      <c r="F34" s="1738"/>
      <c r="G34" s="138"/>
      <c r="H34" s="138"/>
      <c r="I34" s="138"/>
    </row>
    <row r="35" spans="1:15" ht="15.75" thickBot="1">
      <c r="A35" s="2456"/>
      <c r="B35" s="2457" t="s">
        <v>2167</v>
      </c>
      <c r="C35" s="1443">
        <f ca="1">IF(C33="自定义",F35,ROUND(C32*D35,0))</f>
        <v>1316</v>
      </c>
      <c r="D35" s="1444">
        <f ca="1">IF(C33="自定义",ROUND(C35/C32,3),IF(C33="收益比率",SUMIF(INDIRECT("'"&amp;D33&amp;"'"&amp;"!b:b"),"建筑物收益比率",INDIRECT("'"&amp;D33&amp;"'"&amp;"!c:c")),SUMIF(INDIRECT("'"&amp;D33&amp;"'"&amp;"!b:b"),"建筑物成本比率",INDIRECT("'"&amp;D33&amp;"'"&amp;"!c:c"))))</f>
        <v>0.72399999999999998</v>
      </c>
      <c r="E35" s="2458" t="s">
        <v>2168</v>
      </c>
      <c r="F35" s="162"/>
      <c r="G35" s="138"/>
      <c r="H35" s="138"/>
      <c r="I35" s="138"/>
    </row>
    <row r="36" spans="1:15" ht="15.75" thickBot="1">
      <c r="A36" s="3086" t="s">
        <v>2169</v>
      </c>
      <c r="B36" s="2459" t="s">
        <v>2170</v>
      </c>
      <c r="C36" s="153"/>
      <c r="D36" s="2460"/>
      <c r="E36" s="2461"/>
      <c r="F36" s="2462"/>
      <c r="G36" s="138"/>
      <c r="H36" s="138"/>
      <c r="I36" s="138"/>
    </row>
    <row r="37" spans="1:15" ht="15.75" thickBot="1">
      <c r="A37" s="3087"/>
      <c r="B37" s="2266" t="s">
        <v>2171</v>
      </c>
      <c r="C37" s="155"/>
      <c r="D37" s="1394"/>
      <c r="E37" s="1394"/>
      <c r="F37" s="2462"/>
      <c r="G37" s="138"/>
      <c r="H37" s="138"/>
      <c r="I37" s="138"/>
    </row>
    <row r="38" spans="1:15" ht="15.75" thickBot="1">
      <c r="A38" s="3088"/>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5" t="s">
        <v>2183</v>
      </c>
      <c r="B45" s="3066"/>
      <c r="C45" s="3067"/>
      <c r="D45" s="163">
        <f ca="1">ROUND(H101*F45,0)</f>
        <v>1817</v>
      </c>
      <c r="E45" s="164" t="s">
        <v>2184</v>
      </c>
      <c r="F45" s="165">
        <v>1</v>
      </c>
      <c r="G45" s="166" t="s">
        <v>2185</v>
      </c>
      <c r="H45" s="138"/>
      <c r="I45" s="138"/>
      <c r="J45" s="3125" t="s">
        <v>2186</v>
      </c>
      <c r="K45" s="3125"/>
      <c r="L45" s="3125"/>
      <c r="M45" s="3125"/>
      <c r="N45" s="3125"/>
      <c r="O45" s="3125"/>
    </row>
    <row r="46" spans="1:15" ht="14.25" customHeight="1">
      <c r="A46" s="3062" t="s">
        <v>2187</v>
      </c>
      <c r="B46" s="3063"/>
      <c r="C46" s="3063"/>
      <c r="D46" s="3063"/>
      <c r="E46" s="3063"/>
      <c r="F46" s="3063"/>
      <c r="G46" s="3064"/>
      <c r="H46" s="2478"/>
      <c r="I46" s="167"/>
      <c r="J46" s="1811">
        <v>1</v>
      </c>
      <c r="K46" s="3125" t="s">
        <v>2188</v>
      </c>
      <c r="L46" s="3125"/>
      <c r="M46" s="3145"/>
      <c r="N46" s="3145"/>
      <c r="O46" s="3145"/>
    </row>
    <row r="47" spans="1:15" ht="12" customHeight="1">
      <c r="A47" s="168" t="s">
        <v>2189</v>
      </c>
      <c r="B47" s="169"/>
      <c r="C47" s="170"/>
      <c r="D47" s="171" t="s">
        <v>2190</v>
      </c>
      <c r="E47" s="24" t="s">
        <v>2191</v>
      </c>
      <c r="F47" s="172" t="s">
        <v>2192</v>
      </c>
      <c r="G47" s="173" t="s">
        <v>2193</v>
      </c>
      <c r="H47" s="2478"/>
      <c r="I47" s="167"/>
      <c r="J47" s="1811">
        <v>2</v>
      </c>
      <c r="K47" s="3125" t="s">
        <v>2194</v>
      </c>
      <c r="L47" s="3125"/>
      <c r="M47" s="3146">
        <f>'数据-取费表'!B2</f>
        <v>43451</v>
      </c>
      <c r="N47" s="3146"/>
      <c r="O47" s="3146"/>
    </row>
    <row r="48" spans="1:15" ht="25.5">
      <c r="A48" s="3093" t="s">
        <v>2195</v>
      </c>
      <c r="B48" s="3076"/>
      <c r="C48" s="3076"/>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125" t="s">
        <v>2198</v>
      </c>
      <c r="L48" s="3125"/>
      <c r="M48" s="3147">
        <f ca="1">H101</f>
        <v>1817</v>
      </c>
      <c r="N48" s="3147"/>
      <c r="O48" s="3147"/>
    </row>
    <row r="49" spans="1:35" ht="25.5" customHeight="1">
      <c r="A49" s="175" t="s">
        <v>2199</v>
      </c>
      <c r="B49" s="3061" t="s">
        <v>2200</v>
      </c>
      <c r="C49" s="3061"/>
      <c r="D49" s="176">
        <v>0</v>
      </c>
      <c r="E49" s="23" t="s">
        <v>2201</v>
      </c>
      <c r="F49" s="28" t="s">
        <v>34</v>
      </c>
      <c r="G49" s="3131"/>
      <c r="H49" s="138"/>
      <c r="I49" s="2481"/>
      <c r="J49" s="1811">
        <v>4</v>
      </c>
      <c r="K49" s="3125" t="str">
        <f>IF(项目基本情况!E8="房地产抵押价值","房地产抵押价值","抵押担保权已注销时的房地产抵押价值")</f>
        <v>抵押担保权已注销时的房地产抵押价值</v>
      </c>
      <c r="L49" s="3125"/>
      <c r="M49" s="3147" t="str">
        <f>IF(项目基本情况!E8="房地产抵押价值",H107,H109)</f>
        <v>——</v>
      </c>
      <c r="N49" s="3147"/>
      <c r="O49" s="3147"/>
    </row>
    <row r="50" spans="1:35" ht="25.5" customHeight="1">
      <c r="A50" s="177"/>
      <c r="B50" s="3061" t="s">
        <v>2202</v>
      </c>
      <c r="C50" s="3061"/>
      <c r="D50" s="178"/>
      <c r="E50" s="31"/>
      <c r="F50" s="179"/>
      <c r="G50" s="3132"/>
      <c r="H50" s="138"/>
      <c r="I50" s="2481"/>
      <c r="J50" s="3125" t="s">
        <v>2203</v>
      </c>
      <c r="K50" s="3125"/>
      <c r="L50" s="3125"/>
      <c r="M50" s="3125"/>
      <c r="N50" s="3125"/>
      <c r="O50" s="3125"/>
    </row>
    <row r="51" spans="1:35" ht="12" customHeight="1">
      <c r="A51" s="180"/>
      <c r="B51" s="3061" t="s">
        <v>2204</v>
      </c>
      <c r="C51" s="3061"/>
      <c r="D51" s="181"/>
      <c r="E51" s="30"/>
      <c r="F51" s="179"/>
      <c r="G51" s="3133"/>
      <c r="H51" s="138"/>
      <c r="I51" s="2481"/>
      <c r="J51" s="2482" t="s">
        <v>2205</v>
      </c>
      <c r="K51" s="3125" t="s">
        <v>2206</v>
      </c>
      <c r="L51" s="3125"/>
      <c r="M51" s="2482" t="s">
        <v>2207</v>
      </c>
      <c r="N51" s="2482" t="s">
        <v>2208</v>
      </c>
      <c r="O51" s="2482" t="s">
        <v>2209</v>
      </c>
    </row>
    <row r="52" spans="1:35" ht="24" customHeight="1">
      <c r="A52" s="182" t="s">
        <v>2210</v>
      </c>
      <c r="B52" s="3061" t="s">
        <v>2211</v>
      </c>
      <c r="C52" s="3061"/>
      <c r="D52" s="181">
        <f ca="1">ROUND(D45*'数据-取费表'!B41/(1+'数据-取费表'!C42),0)</f>
        <v>95</v>
      </c>
      <c r="E52" s="11" t="s">
        <v>2212</v>
      </c>
      <c r="F52" s="183">
        <f>'数据-取费表'!B41</f>
        <v>5.5000000000000007E-2</v>
      </c>
      <c r="G52" s="2483"/>
      <c r="H52" s="138"/>
      <c r="I52" s="2481"/>
      <c r="J52" s="1811">
        <v>1</v>
      </c>
      <c r="K52" s="3126" t="s">
        <v>2213</v>
      </c>
      <c r="L52" s="3126"/>
      <c r="M52" s="1753">
        <f>D48</f>
        <v>0</v>
      </c>
      <c r="N52" s="1811" t="str">
        <f>E48</f>
        <v>销售额×税（费）率</v>
      </c>
      <c r="O52" s="1754" t="str">
        <f>F48</f>
        <v>免征</v>
      </c>
    </row>
    <row r="53" spans="1:35" ht="12" customHeight="1">
      <c r="A53" s="182" t="s">
        <v>2214</v>
      </c>
      <c r="B53" s="3084" t="s">
        <v>2215</v>
      </c>
      <c r="C53" s="3085"/>
      <c r="D53" s="181">
        <f ca="1">ROUND(D45*'数据-取费表'!B41/(1+'数据-取费表'!C42),0)</f>
        <v>95</v>
      </c>
      <c r="E53" s="11" t="s">
        <v>2212</v>
      </c>
      <c r="F53" s="183">
        <f>'数据-取费表'!B41</f>
        <v>5.5000000000000007E-2</v>
      </c>
      <c r="G53" s="2483"/>
      <c r="H53" s="138"/>
      <c r="I53" s="2481"/>
      <c r="J53" s="1811">
        <v>2</v>
      </c>
      <c r="K53" s="3126" t="s">
        <v>2216</v>
      </c>
      <c r="L53" s="3126"/>
      <c r="M53" s="1753">
        <f t="shared" ref="M53:O54" ca="1" si="0">D55</f>
        <v>1</v>
      </c>
      <c r="N53" s="1811" t="str">
        <f t="shared" si="0"/>
        <v>销售额×税（费）率</v>
      </c>
      <c r="O53" s="1754">
        <f t="shared" si="0"/>
        <v>5.0000000000000001E-4</v>
      </c>
    </row>
    <row r="54" spans="1:35" ht="12" customHeight="1">
      <c r="A54" s="182" t="s">
        <v>2217</v>
      </c>
      <c r="B54" s="3084" t="s">
        <v>2218</v>
      </c>
      <c r="C54" s="3085"/>
      <c r="D54" s="181">
        <f ca="1">C68</f>
        <v>95</v>
      </c>
      <c r="E54" s="30" t="s">
        <v>2219</v>
      </c>
      <c r="F54" s="183">
        <f>'数据-取费表'!B41</f>
        <v>5.5000000000000007E-2</v>
      </c>
      <c r="G54" s="2483"/>
      <c r="H54" s="2484"/>
      <c r="I54" s="2481"/>
      <c r="J54" s="1811">
        <v>3</v>
      </c>
      <c r="K54" s="3126" t="s">
        <v>2220</v>
      </c>
      <c r="L54" s="3126"/>
      <c r="M54" s="1753">
        <f t="shared" ca="1" si="0"/>
        <v>1029</v>
      </c>
      <c r="N54" s="1811" t="str">
        <f t="shared" si="0"/>
        <v>增值额×税（费）率</v>
      </c>
      <c r="O54" s="1755" t="str">
        <f t="shared" si="0"/>
        <v>——</v>
      </c>
    </row>
    <row r="55" spans="1:35" ht="24" customHeight="1">
      <c r="A55" s="3075" t="s">
        <v>2221</v>
      </c>
      <c r="B55" s="3076"/>
      <c r="C55" s="3076"/>
      <c r="D55" s="184">
        <f ca="1">IF(H55="个人住宅",0,ROUND(D45*I55,0))</f>
        <v>1</v>
      </c>
      <c r="E55" s="11" t="s">
        <v>2222</v>
      </c>
      <c r="F55" s="183">
        <f>IF(H55="正常",I55,"免征")</f>
        <v>5.0000000000000001E-4</v>
      </c>
      <c r="G55" s="2483"/>
      <c r="H55" s="2480" t="s">
        <v>2223</v>
      </c>
      <c r="I55" s="185">
        <f>'数据-取费表'!B49</f>
        <v>5.0000000000000001E-4</v>
      </c>
      <c r="J55" s="1811" t="str">
        <f>IF(H59="非个人房产","",4)</f>
        <v/>
      </c>
      <c r="K55" s="3126" t="str">
        <f>IF(H59="非个人房产","——","个人所得税")</f>
        <v>——</v>
      </c>
      <c r="L55" s="3126"/>
      <c r="M55" s="1756" t="str">
        <f>D59</f>
        <v>——</v>
      </c>
      <c r="N55" s="1809" t="str">
        <f>E59</f>
        <v>——</v>
      </c>
      <c r="O55" s="1757" t="str">
        <f>F59</f>
        <v>——</v>
      </c>
    </row>
    <row r="56" spans="1:35" ht="24.75">
      <c r="A56" s="3075" t="s">
        <v>2224</v>
      </c>
      <c r="B56" s="3076"/>
      <c r="C56" s="3076"/>
      <c r="D56" s="184">
        <f ca="1">IF(H56="个人住宅",D57,D58)</f>
        <v>1029</v>
      </c>
      <c r="E56" s="11" t="s">
        <v>2225</v>
      </c>
      <c r="F56" s="183" t="str">
        <f>IF(H56="正常",F58,"免征")</f>
        <v>——</v>
      </c>
      <c r="G56" s="2485" t="s">
        <v>2226</v>
      </c>
      <c r="H56" s="2486" t="s">
        <v>2223</v>
      </c>
      <c r="I56" s="2487"/>
      <c r="J56" s="1811" t="str">
        <f>IF(项目基本情况!K6="上海银行",IF(J55="",4,J55+1),"")</f>
        <v/>
      </c>
      <c r="K56" s="3149" t="str">
        <f>IF(项目基本情况!K6="上海银行","其他处置费用","")</f>
        <v/>
      </c>
      <c r="L56" s="3150"/>
      <c r="M56" s="1753" t="str">
        <f>IF(项目基本情况!K6="上海银行",M69,"")</f>
        <v/>
      </c>
      <c r="N56" s="3152" t="str">
        <f>IF(项目基本情况!K6="上海银行","包含处置中涉及的律师、诉讼、拍卖、评估等费用","")</f>
        <v/>
      </c>
      <c r="O56" s="3153"/>
    </row>
    <row r="57" spans="1:35" ht="12.75">
      <c r="A57" s="182" t="s">
        <v>2199</v>
      </c>
      <c r="B57" s="3091" t="s">
        <v>2227</v>
      </c>
      <c r="C57" s="3100"/>
      <c r="D57" s="186">
        <v>0</v>
      </c>
      <c r="E57" s="23" t="s">
        <v>2201</v>
      </c>
      <c r="F57" s="154"/>
      <c r="G57" s="2483"/>
      <c r="H57" s="2487"/>
      <c r="I57" s="2487"/>
      <c r="J57" s="3126">
        <f>IF(AND(J55="",J56=""),4,IF(项目基本情况!K6="上海银行",结果表!J56+1,结果表!J55+1))</f>
        <v>4</v>
      </c>
      <c r="K57" s="3126" t="s">
        <v>2228</v>
      </c>
      <c r="L57" s="2488" t="s">
        <v>2229</v>
      </c>
      <c r="M57" s="1758"/>
      <c r="N57" s="1759">
        <f ca="1">SUMIF(M52:M56,"&lt;9e307")</f>
        <v>1030</v>
      </c>
      <c r="O57" s="2489"/>
      <c r="P57" s="1752" t="e">
        <f ca="1">N57/M49</f>
        <v>#VALUE!</v>
      </c>
    </row>
    <row r="58" spans="1:35" ht="24.75">
      <c r="A58" s="182" t="s">
        <v>2210</v>
      </c>
      <c r="B58" s="3091" t="s">
        <v>2230</v>
      </c>
      <c r="C58" s="3092"/>
      <c r="D58" s="184">
        <f ca="1">IF(H58="转让取得",C81,C97)</f>
        <v>1029</v>
      </c>
      <c r="E58" s="11" t="s">
        <v>2225</v>
      </c>
      <c r="F58" s="24" t="s">
        <v>34</v>
      </c>
      <c r="G58" s="2483"/>
      <c r="H58" s="2486" t="s">
        <v>2231</v>
      </c>
      <c r="I58" s="2487"/>
      <c r="J58" s="3126"/>
      <c r="K58" s="3126"/>
      <c r="L58" s="2488" t="s">
        <v>2232</v>
      </c>
      <c r="M58" s="1760"/>
      <c r="N58" s="2490" t="str">
        <f ca="1">NUMBERSTRING(INT(N57*10000),2)&amp;"元整"</f>
        <v>壹仟零叁拾万元整</v>
      </c>
      <c r="O58" s="2491"/>
    </row>
    <row r="59" spans="1:35" ht="24.75" thickBot="1">
      <c r="A59" s="3129" t="s">
        <v>2233</v>
      </c>
      <c r="B59" s="3130"/>
      <c r="C59" s="3130"/>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27">
        <f>J57+1</f>
        <v>5</v>
      </c>
      <c r="K59" s="3126" t="s">
        <v>2235</v>
      </c>
      <c r="L59" s="1811" t="s">
        <v>2229</v>
      </c>
      <c r="M59" s="1761"/>
      <c r="N59" s="1762" t="e">
        <f ca="1">M49-N57</f>
        <v>#VALUE!</v>
      </c>
      <c r="O59" s="2493"/>
    </row>
    <row r="60" spans="1:35" ht="12" customHeight="1">
      <c r="A60" s="2494"/>
      <c r="B60" s="2416"/>
      <c r="C60" s="2416"/>
      <c r="D60" s="2416"/>
      <c r="E60" s="2165"/>
      <c r="F60" s="2487"/>
      <c r="G60" s="2487"/>
      <c r="H60" s="2495"/>
      <c r="I60" s="138"/>
      <c r="J60" s="3128"/>
      <c r="K60" s="3126"/>
      <c r="L60" s="2488" t="s">
        <v>2232</v>
      </c>
      <c r="M60" s="1760"/>
      <c r="N60" s="2490" t="e">
        <f ca="1">NUMBERSTRING(INT(N59*10000),2)&amp;"元整"</f>
        <v>#VALUE!</v>
      </c>
      <c r="O60" s="2491"/>
    </row>
    <row r="61" spans="1:35" ht="13.5" thickBot="1">
      <c r="A61" s="3073" t="s">
        <v>2236</v>
      </c>
      <c r="B61" s="3073"/>
      <c r="C61" s="3073"/>
      <c r="D61" s="3073"/>
      <c r="E61" s="3073"/>
      <c r="F61" s="2487"/>
      <c r="G61" s="2487"/>
      <c r="H61" s="2495"/>
      <c r="I61" s="138"/>
      <c r="J61" s="1811">
        <f>J59+1</f>
        <v>6</v>
      </c>
      <c r="K61" s="3126" t="s">
        <v>2237</v>
      </c>
      <c r="L61" s="3126"/>
      <c r="M61" s="1763"/>
      <c r="N61" s="1764" t="e">
        <f ca="1">ROUND(N59*10000/'数据-汇总表'!E3,0)</f>
        <v>#VALUE!</v>
      </c>
      <c r="O61" s="2496"/>
    </row>
    <row r="62" spans="1:35" ht="12.75">
      <c r="A62" s="3089" t="s">
        <v>2238</v>
      </c>
      <c r="B62" s="3090"/>
      <c r="C62" s="1803"/>
      <c r="D62" s="1803" t="s">
        <v>2239</v>
      </c>
      <c r="E62" s="191" t="s">
        <v>2240</v>
      </c>
      <c r="F62" s="2487"/>
      <c r="G62" s="2487"/>
      <c r="H62" s="2495"/>
      <c r="I62" s="138"/>
    </row>
    <row r="63" spans="1:35" ht="12.75">
      <c r="A63" s="202" t="s">
        <v>775</v>
      </c>
      <c r="B63" s="192" t="s">
        <v>2241</v>
      </c>
      <c r="C63" s="193">
        <f ca="1">ROUND((C64+C65)/(1+'数据-取费表'!C42),0)</f>
        <v>1730</v>
      </c>
      <c r="D63" s="194"/>
      <c r="E63" s="195"/>
      <c r="F63" s="2487"/>
      <c r="G63" s="2487"/>
      <c r="H63" s="2495"/>
      <c r="I63" s="138"/>
      <c r="J63" s="3151"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1817</v>
      </c>
      <c r="D64" s="199" t="s">
        <v>32</v>
      </c>
      <c r="E64" s="200"/>
      <c r="F64" s="2487"/>
      <c r="G64" s="2487"/>
      <c r="H64" s="2495"/>
      <c r="I64" s="138"/>
      <c r="J64" s="3151"/>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151"/>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151"/>
      <c r="K66" s="2497" t="s">
        <v>2250</v>
      </c>
      <c r="L66" s="1751" t="e">
        <f>M49*0.5%</f>
        <v>#VALUE!</v>
      </c>
      <c r="M66" s="24" t="e">
        <f>IF(L66&gt;0.5,0.5,ROUND(L66,0))</f>
        <v>#VALUE!</v>
      </c>
      <c r="N66" s="138" t="s">
        <v>2251</v>
      </c>
      <c r="Z66" s="2421"/>
      <c r="AI66" s="2422"/>
    </row>
    <row r="67" spans="1:35" ht="14.25" customHeight="1">
      <c r="A67" s="202" t="s">
        <v>773</v>
      </c>
      <c r="B67" s="203" t="s">
        <v>2252</v>
      </c>
      <c r="C67" s="206">
        <f ca="1">C63-C66</f>
        <v>1730</v>
      </c>
      <c r="D67" s="199" t="s">
        <v>32</v>
      </c>
      <c r="E67" s="200"/>
      <c r="F67" s="2487"/>
      <c r="G67" s="2487"/>
      <c r="H67" s="2495"/>
      <c r="I67" s="138"/>
      <c r="J67" s="3151"/>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95</v>
      </c>
      <c r="D68" s="210">
        <f>'数据-取费表'!B41</f>
        <v>5.5000000000000007E-2</v>
      </c>
      <c r="E68" s="211"/>
      <c r="F68" s="2487"/>
      <c r="G68" s="2487"/>
      <c r="H68" s="2495"/>
      <c r="I68" s="138"/>
      <c r="J68" s="3151"/>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151"/>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0" t="s">
        <v>2257</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9" t="s">
        <v>2238</v>
      </c>
      <c r="B71" s="3090"/>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1730</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9</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084" t="s">
        <v>2266</v>
      </c>
      <c r="F76" s="3061"/>
      <c r="G76" s="3061"/>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9</v>
      </c>
      <c r="D78" s="225">
        <f>'数据-取费表'!B43</f>
        <v>5.000000000000001E-3</v>
      </c>
      <c r="E78" s="3070" t="s">
        <v>2271</v>
      </c>
      <c r="F78" s="3071"/>
      <c r="G78" s="3071"/>
      <c r="H78" s="308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1721</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191.22222222222223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1029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0" t="s">
        <v>2275</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9" t="s">
        <v>2238</v>
      </c>
      <c r="B84" s="3090"/>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1730</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9</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70" t="s">
        <v>2284</v>
      </c>
      <c r="F91" s="3071"/>
      <c r="G91" s="3071"/>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70" t="s">
        <v>2288</v>
      </c>
      <c r="F92" s="3071"/>
      <c r="G92" s="3071"/>
      <c r="H92" s="308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9</v>
      </c>
      <c r="D93" s="225">
        <f>'数据-取费表'!B43</f>
        <v>5.000000000000001E-3</v>
      </c>
      <c r="E93" s="3070" t="s">
        <v>2271</v>
      </c>
      <c r="F93" s="3071"/>
      <c r="G93" s="3071"/>
      <c r="H93" s="308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081" t="s">
        <v>2292</v>
      </c>
      <c r="F94" s="3082"/>
      <c r="G94" s="3082"/>
      <c r="H94" s="308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1721</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191.22222222222223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1029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5" t="s">
        <v>2294</v>
      </c>
      <c r="B100" s="3056"/>
      <c r="C100" s="3056"/>
      <c r="D100" s="3072"/>
      <c r="E100" s="3056" t="s">
        <v>2295</v>
      </c>
      <c r="F100" s="3056"/>
      <c r="G100" s="3056"/>
      <c r="H100" s="3072"/>
      <c r="I100" s="138"/>
    </row>
    <row r="101" spans="1:35" ht="18.75" customHeight="1">
      <c r="A101" s="3134" t="s">
        <v>2296</v>
      </c>
      <c r="B101" s="3135"/>
      <c r="C101" s="735" t="str">
        <f>C4</f>
        <v>收益法工业</v>
      </c>
      <c r="D101" s="736" t="str">
        <f>D4</f>
        <v>成本法</v>
      </c>
      <c r="E101" s="3148" t="s">
        <v>2297</v>
      </c>
      <c r="F101" s="3102"/>
      <c r="G101" s="2518" t="s">
        <v>2298</v>
      </c>
      <c r="H101" s="1047">
        <f ca="1">H118</f>
        <v>1817</v>
      </c>
      <c r="I101" s="138"/>
    </row>
    <row r="102" spans="1:35" ht="18.75" customHeight="1">
      <c r="A102" s="3104" t="s">
        <v>2299</v>
      </c>
      <c r="B102" s="2518" t="s">
        <v>2298</v>
      </c>
      <c r="C102" s="735">
        <f ca="1">C19</f>
        <v>2114</v>
      </c>
      <c r="D102" s="736">
        <f ca="1">D19</f>
        <v>1455</v>
      </c>
      <c r="E102" s="3148"/>
      <c r="F102" s="3102"/>
      <c r="G102" s="2518" t="s">
        <v>2300</v>
      </c>
      <c r="H102" s="370">
        <f ca="1">I118</f>
        <v>4724</v>
      </c>
      <c r="I102" s="138"/>
    </row>
    <row r="103" spans="1:35" ht="42.75" customHeight="1">
      <c r="A103" s="3104"/>
      <c r="B103" s="2518" t="s">
        <v>2300</v>
      </c>
      <c r="C103" s="737">
        <f ca="1">C20</f>
        <v>5497</v>
      </c>
      <c r="D103" s="738">
        <f ca="1">D20</f>
        <v>3783</v>
      </c>
      <c r="E103" s="3143" t="s">
        <v>2301</v>
      </c>
      <c r="F103" s="3144"/>
      <c r="G103" s="2519" t="s">
        <v>2302</v>
      </c>
      <c r="H103" s="1047">
        <f>IF(D36="正常操作",H104+H105+H106,H105+H106)</f>
        <v>0</v>
      </c>
      <c r="I103" s="138"/>
    </row>
    <row r="104" spans="1:35" ht="18.75" customHeight="1">
      <c r="A104" s="3104" t="s">
        <v>2303</v>
      </c>
      <c r="B104" s="2520" t="s">
        <v>2298</v>
      </c>
      <c r="C104" s="739">
        <f ca="1">H118</f>
        <v>1817</v>
      </c>
      <c r="D104" s="740"/>
      <c r="E104" s="2266" t="s">
        <v>2304</v>
      </c>
      <c r="F104" s="2257"/>
      <c r="G104" s="2519" t="s">
        <v>2302</v>
      </c>
      <c r="H104" s="1048">
        <f>IF(D36="同一抵押权人同一抵押物续贷",C36&amp;"（未扣减，详见特别提示）",C36)</f>
        <v>0</v>
      </c>
      <c r="I104" s="138"/>
    </row>
    <row r="105" spans="1:35" ht="18.75" customHeight="1" thickBot="1">
      <c r="A105" s="3105"/>
      <c r="B105" s="2521" t="s">
        <v>2300</v>
      </c>
      <c r="C105" s="741">
        <f ca="1">I118</f>
        <v>4724</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101" t="str">
        <f>IF(项目基本情况!E8="已注销","——","3.房地产抵押价值")</f>
        <v>3.房地产抵押价值</v>
      </c>
      <c r="F107" s="3102"/>
      <c r="G107" s="2518" t="s">
        <v>2298</v>
      </c>
      <c r="H107" s="1047">
        <f ca="1">IF(E107="——","——",H101-H103)</f>
        <v>1817</v>
      </c>
      <c r="I107" s="138"/>
    </row>
    <row r="108" spans="1:35" ht="18.75" customHeight="1">
      <c r="A108" s="138"/>
      <c r="B108" s="138"/>
      <c r="C108" s="138"/>
      <c r="D108" s="138"/>
      <c r="E108" s="3101"/>
      <c r="F108" s="3102"/>
      <c r="G108" s="2518" t="s">
        <v>2300</v>
      </c>
      <c r="H108" s="370">
        <f ca="1">ROUND(H107*10000/'数据-汇总表'!E3,0)</f>
        <v>4724</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8" t="s">
        <v>2298</v>
      </c>
      <c r="H109" s="347" t="str">
        <f>IF(E109="——","——",H101-H105-H106)</f>
        <v>——</v>
      </c>
      <c r="I109" s="138"/>
    </row>
    <row r="110" spans="1:35" ht="18.75" customHeight="1">
      <c r="A110" s="138"/>
      <c r="B110" s="138"/>
      <c r="C110" s="138"/>
      <c r="D110" s="138"/>
      <c r="E110" s="3101"/>
      <c r="F110" s="3102"/>
      <c r="G110" s="2518" t="s">
        <v>2300</v>
      </c>
      <c r="H110" s="370"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8" t="s">
        <v>2298</v>
      </c>
      <c r="H111" s="1047" t="str">
        <f>IF(E111="——","——",N59)</f>
        <v>——</v>
      </c>
      <c r="I111" s="138"/>
    </row>
    <row r="112" spans="1:35" ht="18.75" customHeight="1" thickBot="1">
      <c r="A112" s="138"/>
      <c r="B112" s="138"/>
      <c r="C112" s="138"/>
      <c r="D112" s="138"/>
      <c r="E112" s="3138"/>
      <c r="F112" s="3139"/>
      <c r="G112" s="2523" t="s">
        <v>2300</v>
      </c>
      <c r="H112" s="789" t="str">
        <f>IF(E111="——","——",N61)</f>
        <v>——</v>
      </c>
      <c r="I112" s="138"/>
    </row>
    <row r="113" spans="1:11" ht="18.75" customHeight="1">
      <c r="A113" s="138"/>
      <c r="B113" s="138"/>
      <c r="C113" s="138"/>
      <c r="D113" s="138"/>
      <c r="E113" s="3106" t="s">
        <v>2306</v>
      </c>
      <c r="F113" s="3106"/>
      <c r="G113" s="3106"/>
      <c r="H113" s="3106"/>
      <c r="I113" s="138"/>
    </row>
    <row r="114" spans="1:11" ht="3.75" customHeight="1">
      <c r="A114" s="2416"/>
      <c r="B114" s="2416"/>
      <c r="C114" s="2416"/>
      <c r="D114" s="2416"/>
      <c r="E114" s="2494"/>
      <c r="F114" s="2494"/>
      <c r="G114" s="2494"/>
      <c r="H114" s="2494"/>
      <c r="I114" s="2416"/>
    </row>
    <row r="115" spans="1:11" ht="18.75" customHeight="1">
      <c r="A115" s="3119" t="s">
        <v>2308</v>
      </c>
      <c r="B115" s="3120"/>
      <c r="C115" s="3120"/>
      <c r="D115" s="3120"/>
      <c r="E115" s="3120"/>
      <c r="F115" s="3120"/>
      <c r="G115" s="3120"/>
      <c r="H115" s="3120"/>
      <c r="I115" s="3121"/>
    </row>
    <row r="116" spans="1:11" ht="27" customHeight="1">
      <c r="A116" s="3012" t="s">
        <v>2309</v>
      </c>
      <c r="B116" s="3107" t="s">
        <v>2310</v>
      </c>
      <c r="C116" s="3107" t="s">
        <v>2311</v>
      </c>
      <c r="D116" s="3123" t="s">
        <v>2312</v>
      </c>
      <c r="E116" s="3124"/>
      <c r="F116" s="3115" t="s">
        <v>2313</v>
      </c>
      <c r="G116" s="3115"/>
      <c r="H116" s="3012" t="s">
        <v>2314</v>
      </c>
      <c r="I116" s="3012"/>
    </row>
    <row r="117" spans="1:11" ht="18.75" customHeight="1">
      <c r="A117" s="3012"/>
      <c r="B117" s="3108"/>
      <c r="C117" s="3108"/>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3846.04</v>
      </c>
      <c r="C118" s="1797">
        <f>M19</f>
        <v>1176.69</v>
      </c>
      <c r="D118" s="1797">
        <f ca="1">ROUND(IF(D32="总价",C34,E118*B118/10000),0)</f>
        <v>501</v>
      </c>
      <c r="E118" s="1797">
        <f ca="1">ROUND(IF(C33="自定义",IF(D32="楼面单价",C34,D118*10000/B118),I118-G118),0)</f>
        <v>1302</v>
      </c>
      <c r="F118" s="1797">
        <f ca="1">ROUND(IF(D32="总价",C35,G118*B118/10000),0)</f>
        <v>1316</v>
      </c>
      <c r="G118" s="1797">
        <f ca="1">ROUND(IF(D32="楼面单价",C35,F118*10000/B118),0)</f>
        <v>3422</v>
      </c>
      <c r="H118" s="1797">
        <f ca="1">ROUND(IF(D32="总价",C32,I118*B118/10000),0)</f>
        <v>1817</v>
      </c>
      <c r="I118" s="1797">
        <f ca="1">ROUND(IF(D32="楼面单价",C32,H118*10000/B118),0)</f>
        <v>4724</v>
      </c>
      <c r="J118" s="794">
        <f ca="1">D118/C118*666.67</f>
        <v>283.8484817581521</v>
      </c>
    </row>
    <row r="119" spans="1:11" ht="18.75" customHeight="1">
      <c r="A119" s="3012" t="s">
        <v>2318</v>
      </c>
      <c r="B119" s="3012"/>
      <c r="C119" s="3012"/>
      <c r="D119" s="3112" t="str">
        <f ca="1">NUMBERSTRING(INT(D118*10000),2)&amp;"元整"</f>
        <v>伍佰零壹万元整</v>
      </c>
      <c r="E119" s="3114"/>
      <c r="F119" s="3112" t="str">
        <f ca="1">NUMBERSTRING(INT(F118*10000),2)&amp;"元整"</f>
        <v>壹仟叁佰壹拾陆万元整</v>
      </c>
      <c r="G119" s="3114"/>
      <c r="H119" s="3112" t="str">
        <f ca="1">NUMBERSTRING(INT(H118*10000),2)&amp;"元整"</f>
        <v>壹仟捌佰壹拾柒万元整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1" t="str">
        <f>IF(D120=0,"故，本次评估不存在"&amp;A120,"故，本次评估"&amp;A120&amp;"为人民币"&amp;D120&amp;"万元整。")</f>
        <v>故，本次评估不存在估价师知悉的法定优先受偿款</v>
      </c>
    </row>
    <row r="121" spans="1:11" ht="18.75" customHeight="1">
      <c r="A121" s="3116" t="s">
        <v>2318</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1817</v>
      </c>
      <c r="E122" s="3141"/>
      <c r="F122" s="3141"/>
      <c r="G122" s="3141"/>
      <c r="H122" s="3141"/>
      <c r="I122" s="3142"/>
    </row>
    <row r="123" spans="1:11" ht="18.75" customHeight="1">
      <c r="A123" s="3012" t="s">
        <v>2318</v>
      </c>
      <c r="B123" s="3012"/>
      <c r="C123" s="3012"/>
      <c r="D123" s="3112" t="str">
        <f ca="1">NUMBERSTRING(INT(D122*10000),2)&amp;"元整"</f>
        <v>壹仟捌佰壹拾柒万元整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2318</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2318</v>
      </c>
      <c r="B127" s="3012"/>
      <c r="C127" s="3012"/>
      <c r="D127" s="3112" t="e">
        <f>NUMBERSTRING(INT(D126*10000),2)&amp;"元整"</f>
        <v>#VALUE!</v>
      </c>
      <c r="E127" s="3113"/>
      <c r="F127" s="3113"/>
      <c r="G127" s="3113"/>
      <c r="H127" s="3113"/>
      <c r="I127" s="3114"/>
    </row>
    <row r="128" spans="1:11" ht="21.75" customHeight="1">
      <c r="A128" s="3122" t="s">
        <v>2319</v>
      </c>
      <c r="B128" s="3122"/>
      <c r="C128" s="3122"/>
      <c r="D128" s="3122"/>
      <c r="E128" s="3122"/>
      <c r="F128" s="3122"/>
      <c r="G128" s="3122"/>
      <c r="H128" s="3122"/>
      <c r="I128" s="312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1215</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3159</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461525</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461525</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461525</v>
      </c>
      <c r="D10" s="1034">
        <f ca="1">IF(B1="",'数据-汇总表'!E6,IF(INDIRECT("'数据-取费表'!c"&amp;$G$1)="住宅",INDIRECT("'数据-取费表'!s"&amp;$G$1),INDIRECT("'数据-取费表'!k"&amp;$G$1)+INDIRECT("'数据-取费表'!s"&amp;$G$1)))</f>
        <v>3846.04</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769208</v>
      </c>
      <c r="D19" s="1038">
        <f ca="1">D9+D10</f>
        <v>3846.04</v>
      </c>
      <c r="E19" s="254">
        <f>'数据-取费表'!B31</f>
        <v>200</v>
      </c>
      <c r="F19" s="274"/>
      <c r="G19" s="2550"/>
    </row>
    <row r="20" spans="1:7" s="257" customFormat="1" ht="13.5" customHeight="1">
      <c r="A20" s="298" t="s">
        <v>2440</v>
      </c>
      <c r="B20" s="253" t="s">
        <v>2441</v>
      </c>
      <c r="C20" s="275">
        <f ca="1">ROUND((C5+C19)*F20,0)</f>
        <v>24615</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120865</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44886</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74810</v>
      </c>
      <c r="D24" s="281"/>
      <c r="E24" s="281"/>
      <c r="F24" s="282"/>
      <c r="G24" s="283" t="s">
        <v>2452</v>
      </c>
    </row>
    <row r="25" spans="1:7" s="257" customFormat="1" ht="24">
      <c r="A25" s="953" t="s">
        <v>2342</v>
      </c>
      <c r="B25" s="258" t="s">
        <v>2453</v>
      </c>
      <c r="C25" s="1383">
        <f ca="1">ROUND(IF('数据-取费表'!B22&lt;=1,C20*F22*'数据-取费表'!B22/2,C20*(POWER((1+F22),'数据-取费表'!B22/2)-1)),0)</f>
        <v>1169</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125535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125535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1624214</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8807431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7692080</v>
      </c>
      <c r="D34" s="260"/>
      <c r="E34" s="263"/>
      <c r="F34" s="300"/>
      <c r="G34" s="262"/>
    </row>
    <row r="35" spans="1:7" ht="13.5" customHeight="1">
      <c r="A35" s="953" t="s">
        <v>796</v>
      </c>
      <c r="B35" s="258" t="s">
        <v>2393</v>
      </c>
      <c r="C35" s="263">
        <f ca="1">ROUND(C34*F35,0)</f>
        <v>230762</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769208</v>
      </c>
      <c r="D37" s="260">
        <f ca="1">D19</f>
        <v>3846.04</v>
      </c>
      <c r="E37" s="292">
        <f>'数据-取费表'!B35</f>
        <v>200</v>
      </c>
      <c r="F37" s="302"/>
      <c r="G37" s="304"/>
    </row>
    <row r="38" spans="1:7" ht="13.5" customHeight="1">
      <c r="A38" s="953" t="s">
        <v>799</v>
      </c>
      <c r="B38" s="258" t="s">
        <v>2399</v>
      </c>
      <c r="C38" s="263">
        <f ca="1">ROUND(C34*F38,0)</f>
        <v>115381</v>
      </c>
      <c r="D38" s="263"/>
      <c r="E38" s="263"/>
      <c r="F38" s="302">
        <f>'数据-取费表'!B36</f>
        <v>1.4999999999999999E-2</v>
      </c>
      <c r="G38" s="262" t="s">
        <v>2394</v>
      </c>
    </row>
    <row r="39" spans="1:7" s="257" customFormat="1" ht="13.5" customHeight="1">
      <c r="A39" s="298" t="s">
        <v>2400</v>
      </c>
      <c r="B39" s="253" t="s">
        <v>2401</v>
      </c>
      <c r="C39" s="275">
        <f ca="1">ROUND(C33*F20,0)</f>
        <v>176149</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426720</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418353</v>
      </c>
      <c r="D42" s="281"/>
      <c r="E42" s="281"/>
      <c r="F42" s="282"/>
      <c r="G42" s="3154" t="s">
        <v>2457</v>
      </c>
    </row>
    <row r="43" spans="1:7" ht="13.5" customHeight="1">
      <c r="A43" s="953" t="s">
        <v>792</v>
      </c>
      <c r="B43" s="258" t="s">
        <v>2411</v>
      </c>
      <c r="C43" s="281">
        <f ca="1">ROUND(IF('数据-取费表'!B22&lt;=1,C39*F22*'数据-取费表'!B20/2,C39*(POWER((1+F22),'数据-取费表'!B20/2)-1)),0)</f>
        <v>8367</v>
      </c>
      <c r="D43" s="281"/>
      <c r="E43" s="281"/>
      <c r="F43" s="282"/>
      <c r="G43" s="3155"/>
    </row>
    <row r="44" spans="1:7" ht="13.5" customHeight="1">
      <c r="A44" s="953" t="s">
        <v>793</v>
      </c>
      <c r="B44" s="258" t="s">
        <v>2412</v>
      </c>
      <c r="C44" s="281">
        <f ca="1">ROUND(IF('数据-取费表'!B22&lt;=1,C40*F22*'数据-取费表'!B20/2,C40*(POWER((1+F22),'数据-取费表'!B20/2)-1)),4)</f>
        <v>1E-3</v>
      </c>
      <c r="D44" s="281"/>
      <c r="E44" s="281"/>
      <c r="F44" s="282"/>
      <c r="G44" s="3156"/>
    </row>
    <row r="45" spans="1:7" s="257" customFormat="1" ht="13.5" customHeight="1">
      <c r="A45" s="298" t="s">
        <v>2413</v>
      </c>
      <c r="B45" s="287" t="s">
        <v>2379</v>
      </c>
      <c r="C45" s="288">
        <f ca="1">C46</f>
        <v>898358</v>
      </c>
      <c r="D45" s="278">
        <f ca="1">C47</f>
        <v>2E-3</v>
      </c>
      <c r="E45" s="279" t="s">
        <v>2405</v>
      </c>
      <c r="F45" s="289"/>
      <c r="G45" s="290" t="s">
        <v>2414</v>
      </c>
    </row>
    <row r="46" spans="1:7" s="257" customFormat="1" ht="13.5" customHeight="1">
      <c r="A46" s="953" t="s">
        <v>791</v>
      </c>
      <c r="B46" s="291" t="s">
        <v>2415</v>
      </c>
      <c r="C46" s="292">
        <f ca="1">ROUND((C33+C39)*F27,0)</f>
        <v>898358</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11149316</v>
      </c>
      <c r="D49" s="275"/>
      <c r="E49" s="275"/>
      <c r="F49" s="307"/>
      <c r="G49" s="277" t="s">
        <v>2420</v>
      </c>
    </row>
    <row r="50" spans="1:7" s="301" customFormat="1">
      <c r="A50" s="298" t="s">
        <v>2421</v>
      </c>
      <c r="B50" s="253" t="s">
        <v>2422</v>
      </c>
      <c r="C50" s="275"/>
      <c r="D50" s="275"/>
      <c r="E50" s="275"/>
      <c r="F50" s="307">
        <f>IF('数据-取费表'!B24=0,'数据-取费表'!N16,1)</f>
        <v>0.94399999999999995</v>
      </c>
      <c r="G50" s="290"/>
    </row>
    <row r="51" spans="1:7" ht="16.5" customHeight="1">
      <c r="A51" s="298" t="s">
        <v>2424</v>
      </c>
      <c r="B51" s="253" t="s">
        <v>2459</v>
      </c>
      <c r="C51" s="275">
        <f ca="1">ROUND(C49*F50,0)</f>
        <v>10524954</v>
      </c>
      <c r="D51" s="275"/>
      <c r="E51" s="275"/>
      <c r="F51" s="307"/>
      <c r="G51" s="277" t="s">
        <v>2426</v>
      </c>
    </row>
    <row r="52" spans="1:7" s="251" customFormat="1" ht="16.5" thickBot="1">
      <c r="A52" s="308" t="s">
        <v>2427</v>
      </c>
      <c r="B52" s="309"/>
      <c r="C52" s="310">
        <f ca="1">C31+C51</f>
        <v>12149168</v>
      </c>
      <c r="D52" s="309"/>
      <c r="E52" s="309"/>
      <c r="F52" s="309"/>
      <c r="G52" s="311"/>
    </row>
    <row r="55" spans="1:7" ht="15">
      <c r="B55" s="313" t="s">
        <v>2428</v>
      </c>
      <c r="C55" s="314"/>
    </row>
    <row r="56" spans="1:7">
      <c r="B56" s="316" t="s">
        <v>1513</v>
      </c>
      <c r="C56" s="318">
        <f ca="1">1-C57</f>
        <v>0.13400000000000001</v>
      </c>
    </row>
    <row r="57" spans="1:7">
      <c r="B57" s="316" t="s">
        <v>1514</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8" t="str">
        <f>项目基本情况!B1</f>
        <v>北京市怀柔区雁栖经济开发区乐园南一街7号1号楼等库房、辅助用房、车间、办公楼用房出让国有建设用地使用权及在建建筑物房地产抵押价值预评估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3846.04</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3846.04</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46</v>
      </c>
      <c r="D20" s="1035">
        <f ca="1">IF(C1="",'数据-汇总表'!E6,IF(INDIRECT("'数据-取费表'!c"&amp;$K$1)="住宅",INDIRECT("'数据-取费表'!s"&amp;$K$1),INDIRECT("'数据-取费表'!k"&amp;$K$1)+INDIRECT("'数据-取费表'!s"&amp;$K$1)))</f>
        <v>3846.04</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7" t="s">
        <v>1403</v>
      </c>
      <c r="C6" s="1298" t="e">
        <f ca="1">ROUND(F6*F8*F7*(1-F9)/10000,0)</f>
        <v>#N/A</v>
      </c>
      <c r="D6" s="163" t="s">
        <v>3033</v>
      </c>
      <c r="E6" s="346" t="s">
        <v>1405</v>
      </c>
      <c r="F6" s="347" t="e">
        <f ca="1">INDIRECT("'数据-取费表'!u"&amp;$G$1)</f>
        <v>#N/A</v>
      </c>
      <c r="G6" s="1853"/>
      <c r="H6" s="1293" t="s">
        <v>1035</v>
      </c>
      <c r="I6" s="3157" t="s">
        <v>1403</v>
      </c>
      <c r="J6" s="345" t="e">
        <f ca="1">ROUND(M6*M8*M7*(1-M9)/10000,0)</f>
        <v>#N/A</v>
      </c>
      <c r="K6" s="163" t="s">
        <v>3032</v>
      </c>
      <c r="L6" s="346" t="s">
        <v>1405</v>
      </c>
      <c r="M6" s="347" t="e">
        <f ca="1">INDIRECT("'数据-取费表'!z"&amp;$G$1)</f>
        <v>#N/A</v>
      </c>
    </row>
    <row r="7" spans="1:37" ht="18" customHeight="1">
      <c r="A7" s="1297"/>
      <c r="B7" s="3158"/>
      <c r="C7" s="1299"/>
      <c r="D7" s="351"/>
      <c r="E7" s="2945" t="s">
        <v>1406</v>
      </c>
      <c r="F7" s="347" t="e">
        <f ca="1">IF(INDIRECT("'数据-取费表'!ah"&amp;$G$1)="",INDIRECT("'数据-取费表'!k"&amp;$G$1),INDIRECT("'数据-取费表'!ah"&amp;$G$1))</f>
        <v>#N/A</v>
      </c>
      <c r="G7" s="1853"/>
      <c r="H7" s="348"/>
      <c r="I7" s="3158"/>
      <c r="J7" s="350"/>
      <c r="K7" s="351"/>
      <c r="L7" s="346" t="s">
        <v>1406</v>
      </c>
      <c r="M7" s="347" t="e">
        <f ca="1">F7</f>
        <v>#N/A</v>
      </c>
    </row>
    <row r="8" spans="1:37" ht="18" customHeight="1">
      <c r="A8" s="348"/>
      <c r="B8" s="3158"/>
      <c r="C8" s="350"/>
      <c r="D8" s="351"/>
      <c r="E8" s="346" t="s">
        <v>1407</v>
      </c>
      <c r="F8" s="347" t="e">
        <f ca="1">INDIRECT("'数据-取费表'!ai"&amp;$G$1)</f>
        <v>#N/A</v>
      </c>
      <c r="G8" s="1853"/>
      <c r="H8" s="348"/>
      <c r="I8" s="3158"/>
      <c r="J8" s="350"/>
      <c r="K8" s="351"/>
      <c r="L8" s="346" t="s">
        <v>1407</v>
      </c>
      <c r="M8" s="347" t="e">
        <f ca="1">INDIRECT("'数据-取费表'!ai"&amp;$G$1)</f>
        <v>#N/A</v>
      </c>
    </row>
    <row r="9" spans="1:37" ht="18" customHeight="1">
      <c r="A9" s="348"/>
      <c r="B9" s="3159"/>
      <c r="C9" s="350"/>
      <c r="D9" s="351"/>
      <c r="E9" s="346" t="s">
        <v>1408</v>
      </c>
      <c r="F9" s="356" t="e">
        <f ca="1">INDIRECT("'数据-取费表'!w"&amp;$G$1)</f>
        <v>#N/A</v>
      </c>
      <c r="G9" s="1853"/>
      <c r="H9" s="348"/>
      <c r="I9" s="3159"/>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0" t="s">
        <v>1548</v>
      </c>
      <c r="L53" s="3161"/>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6" sqref="G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2114</v>
      </c>
      <c r="C2" s="1847" t="s">
        <v>1516</v>
      </c>
      <c r="D2" s="1847"/>
      <c r="E2" s="1848"/>
      <c r="F2" s="1849"/>
      <c r="G2" s="1850"/>
      <c r="H2" s="1842"/>
      <c r="I2" s="1842"/>
      <c r="J2" s="1842"/>
      <c r="K2" s="1843"/>
      <c r="L2" s="1842"/>
      <c r="M2" s="1842"/>
    </row>
    <row r="3" spans="1:37" ht="18" customHeight="1" thickBot="1">
      <c r="A3" s="1851" t="s">
        <v>1517</v>
      </c>
      <c r="B3" s="1852">
        <f ca="1">IF(ISERROR(B2*10000/F43),0,ROUND(B2*10000/F43,0))</f>
        <v>5497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139</v>
      </c>
      <c r="D5" s="1824" t="s">
        <v>1402</v>
      </c>
      <c r="E5" s="1295"/>
      <c r="F5" s="1296"/>
      <c r="G5" s="1853"/>
      <c r="H5" s="343">
        <v>1</v>
      </c>
      <c r="I5" s="344" t="s">
        <v>1401</v>
      </c>
      <c r="J5" s="1294">
        <f ca="1">J6+J10+J12</f>
        <v>0</v>
      </c>
      <c r="K5" s="1824" t="s">
        <v>1402</v>
      </c>
      <c r="L5" s="1295"/>
      <c r="M5" s="1296"/>
    </row>
    <row r="6" spans="1:37" ht="18" customHeight="1">
      <c r="A6" s="1293" t="s">
        <v>1035</v>
      </c>
      <c r="B6" s="3157" t="s">
        <v>1403</v>
      </c>
      <c r="C6" s="1298">
        <f ca="1">ROUND(F6*F8*F7*(1-F9)/10000,0)</f>
        <v>139</v>
      </c>
      <c r="D6" s="163" t="s">
        <v>3033</v>
      </c>
      <c r="E6" s="346" t="s">
        <v>1405</v>
      </c>
      <c r="F6" s="347">
        <f ca="1">INDIRECT("'数据-取费表'!u"&amp;$G$1)</f>
        <v>1.1000000000000001</v>
      </c>
      <c r="G6" s="1853"/>
      <c r="H6" s="1293" t="s">
        <v>1035</v>
      </c>
      <c r="I6" s="3157" t="s">
        <v>1403</v>
      </c>
      <c r="J6" s="345">
        <f ca="1">ROUND(M6*M8*M7*(1-M9)/10000,0)</f>
        <v>0</v>
      </c>
      <c r="K6" s="163" t="s">
        <v>3032</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3846.04</v>
      </c>
      <c r="G7" s="1853"/>
      <c r="H7" s="348"/>
      <c r="I7" s="3158"/>
      <c r="J7" s="350"/>
      <c r="K7" s="351"/>
      <c r="L7" s="346" t="s">
        <v>1406</v>
      </c>
      <c r="M7" s="347">
        <f ca="1">F7</f>
        <v>3846.04</v>
      </c>
    </row>
    <row r="8" spans="1:37" ht="18" customHeight="1">
      <c r="A8" s="348"/>
      <c r="B8" s="3158"/>
      <c r="C8" s="350"/>
      <c r="D8" s="351"/>
      <c r="E8" s="346" t="s">
        <v>1407</v>
      </c>
      <c r="F8" s="347">
        <f ca="1">INDIRECT("'数据-取费表'!ai"&amp;$G$1)</f>
        <v>365</v>
      </c>
      <c r="G8" s="1853"/>
      <c r="H8" s="348"/>
      <c r="I8" s="3158"/>
      <c r="J8" s="350"/>
      <c r="K8" s="351"/>
      <c r="L8" s="346" t="s">
        <v>1407</v>
      </c>
      <c r="M8" s="347">
        <f ca="1">INDIRECT("'数据-取费表'!ai"&amp;$G$1)</f>
        <v>365</v>
      </c>
    </row>
    <row r="9" spans="1:37" ht="18" customHeight="1">
      <c r="A9" s="348"/>
      <c r="B9" s="3159"/>
      <c r="C9" s="350"/>
      <c r="D9" s="351"/>
      <c r="E9" s="346" t="s">
        <v>1408</v>
      </c>
      <c r="F9" s="356">
        <f ca="1">INDIRECT("'数据-取费表'!w"&amp;$G$1)</f>
        <v>0.1</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1054</v>
      </c>
      <c r="D13" s="1333" t="s">
        <v>1415</v>
      </c>
      <c r="E13" s="1333" t="s">
        <v>1416</v>
      </c>
      <c r="F13" s="1334">
        <f ca="1">INDIRECT("'数据-取费表'!y"&amp;$G$1)</f>
        <v>0.94399999999999995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769</v>
      </c>
      <c r="D14" s="1802" t="s">
        <v>1418</v>
      </c>
      <c r="E14" s="1796"/>
      <c r="F14" s="363"/>
      <c r="G14" s="1853"/>
      <c r="H14" s="1203" t="s">
        <v>1035</v>
      </c>
      <c r="I14" s="346" t="s">
        <v>1419</v>
      </c>
      <c r="J14" s="24">
        <f ca="1">C29</f>
        <v>1116</v>
      </c>
      <c r="K14" s="15"/>
      <c r="L14" s="981"/>
      <c r="M14" s="982"/>
    </row>
    <row r="15" spans="1:37" s="1860" customFormat="1" ht="18" customHeight="1" thickBot="1">
      <c r="A15" s="1203" t="s">
        <v>1036</v>
      </c>
      <c r="B15" s="346" t="s">
        <v>1420</v>
      </c>
      <c r="C15" s="24">
        <f ca="1">ROUND(C14*F15,0)</f>
        <v>23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26</v>
      </c>
      <c r="K16" s="1339" t="s">
        <v>1425</v>
      </c>
      <c r="L16" s="1340"/>
      <c r="M16" s="1296"/>
    </row>
    <row r="17" spans="1:37" s="1860" customFormat="1" ht="18" customHeight="1">
      <c r="A17" s="1203" t="s">
        <v>1390</v>
      </c>
      <c r="B17" s="346" t="s">
        <v>1426</v>
      </c>
      <c r="C17" s="24">
        <f ca="1">ROUND(F17*(F43+INDIRECT("'数据-取费表'!S"&amp;$G$1))/10000,0)</f>
        <v>77</v>
      </c>
      <c r="D17" s="346" t="s">
        <v>1427</v>
      </c>
      <c r="E17" s="346" t="s">
        <v>1428</v>
      </c>
      <c r="F17" s="26">
        <f>'数据-取费表'!B35</f>
        <v>200</v>
      </c>
      <c r="G17" s="1856"/>
      <c r="H17" s="1203" t="s">
        <v>1035</v>
      </c>
      <c r="I17" s="346" t="s">
        <v>1429</v>
      </c>
      <c r="J17" s="24">
        <f ca="1">ROUND(IF(项目基本情况!B11="自然人",J5*M17,J18+J19+J20),1)</f>
        <v>9.6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12</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881</v>
      </c>
      <c r="D19" s="140" t="s">
        <v>1436</v>
      </c>
      <c r="E19" s="1820"/>
      <c r="F19" s="26"/>
      <c r="G19" s="1853"/>
      <c r="H19" s="1203" t="s">
        <v>1036</v>
      </c>
      <c r="I19" s="346" t="s">
        <v>1437</v>
      </c>
      <c r="J19" s="24">
        <f ca="1">IF(K19="按租金收入计税",ROUND(J5*M19,2),ROUND(C29*M19*0.7,2))</f>
        <v>9.3699999999999992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18</v>
      </c>
      <c r="D20" s="368" t="s">
        <v>1440</v>
      </c>
      <c r="E20" s="346" t="s">
        <v>1422</v>
      </c>
      <c r="F20" s="366">
        <f>'数据-取费表'!B37</f>
        <v>0.02</v>
      </c>
      <c r="G20" s="1856"/>
      <c r="H20" s="1203" t="s">
        <v>1389</v>
      </c>
      <c r="I20" s="163" t="s">
        <v>1441</v>
      </c>
      <c r="J20" s="25">
        <f ca="1">ROUND(M20*M21/10000,2)</f>
        <v>0.18</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1176.69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16.7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-26</v>
      </c>
      <c r="K25" s="1347" t="s">
        <v>1464</v>
      </c>
      <c r="L25" s="1348"/>
      <c r="M25" s="1349"/>
    </row>
    <row r="26" spans="1:37">
      <c r="A26" s="1203" t="s">
        <v>1034</v>
      </c>
      <c r="B26" s="346" t="s">
        <v>1465</v>
      </c>
      <c r="C26" s="24">
        <f ca="1">ROUND((C19+C20)*F26,0)</f>
        <v>90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1116</v>
      </c>
      <c r="D29" s="1344"/>
      <c r="E29" s="1342"/>
      <c r="F29" s="1345"/>
      <c r="G29" s="1856"/>
      <c r="H29" s="379" t="s">
        <v>1033</v>
      </c>
      <c r="I29" s="380" t="s">
        <v>1479</v>
      </c>
      <c r="J29" s="381">
        <f ca="1">ROUND(J26/(1+F40)^F41,0)</f>
        <v>0</v>
      </c>
      <c r="K29" s="382" t="s">
        <v>1480</v>
      </c>
      <c r="L29" s="383"/>
      <c r="M29" s="384">
        <f ca="1">INDIRECT("'数据-取费表'!k"&amp;$G$1)</f>
        <v>3846.04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24.1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7.28</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16.68</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0.18</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1176.69</v>
      </c>
      <c r="G35" s="1853"/>
      <c r="H35" s="744"/>
      <c r="I35" s="1862"/>
      <c r="J35" s="1863"/>
      <c r="K35" s="1864"/>
      <c r="L35" s="1861"/>
      <c r="M35" s="1861"/>
    </row>
    <row r="36" spans="1:18" ht="18" customHeight="1">
      <c r="A36" s="1354" t="s">
        <v>1039</v>
      </c>
      <c r="B36" s="346" t="s">
        <v>1449</v>
      </c>
      <c r="C36" s="24">
        <f ca="1">ROUND(C29*F36,1)</f>
        <v>16.7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1.4</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95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2114</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5497</v>
      </c>
      <c r="D43" s="382" t="s">
        <v>1488</v>
      </c>
      <c r="E43" s="383" t="s">
        <v>1489</v>
      </c>
      <c r="F43" s="384">
        <f ca="1">INDIRECT("'数据-取费表'!k"&amp;$G$1)</f>
        <v>3846.04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-4003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2114</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1116</v>
      </c>
      <c r="R49" s="1888" t="s">
        <v>1529</v>
      </c>
    </row>
    <row r="50" spans="1:18" s="1844" customFormat="1" ht="13.5" thickBot="1">
      <c r="A50" s="1197"/>
      <c r="B50" s="1200"/>
      <c r="C50" s="1370"/>
      <c r="D50" s="1174"/>
      <c r="E50" s="1279" t="s">
        <v>1406</v>
      </c>
      <c r="F50" s="1280">
        <f ca="1">F7</f>
        <v>3846.04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276</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0" t="s">
        <v>1548</v>
      </c>
      <c r="L53" s="3161"/>
      <c r="O53" s="1886" t="s">
        <v>1046</v>
      </c>
      <c r="P53" s="1887" t="s">
        <v>1549</v>
      </c>
      <c r="Q53" s="1888">
        <f ca="1">Q47+Q48</f>
        <v>2114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1054</v>
      </c>
      <c r="D56" s="1916"/>
      <c r="E56" s="1917"/>
      <c r="F56" s="1909"/>
      <c r="I56" s="1918" t="s">
        <v>1554</v>
      </c>
      <c r="J56" s="1919" t="s">
        <v>3058</v>
      </c>
      <c r="K56" s="1889" t="s">
        <v>1555</v>
      </c>
      <c r="L56" s="1892" t="str">
        <f ca="1">IF(L48&lt;J51,"——",L48-J53)</f>
        <v>——</v>
      </c>
      <c r="O56" s="1886" t="s">
        <v>1040</v>
      </c>
      <c r="P56" s="1887" t="s">
        <v>1528</v>
      </c>
      <c r="Q56" s="1888">
        <f ca="1">C40+J29</f>
        <v>2114</v>
      </c>
      <c r="R56" s="1888" t="s">
        <v>1529</v>
      </c>
    </row>
    <row r="57" spans="1:18" s="1844" customFormat="1" ht="24.75" thickBot="1">
      <c r="A57" s="1920"/>
      <c r="B57" s="1171" t="s">
        <v>1478</v>
      </c>
      <c r="C57" s="281">
        <f ca="1">C29</f>
        <v>1116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112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93.9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93.74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0.18</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2114</v>
      </c>
      <c r="R62" s="1888" t="s">
        <v>1047</v>
      </c>
    </row>
    <row r="63" spans="1:18" s="1844" customFormat="1" ht="13.5" thickBot="1">
      <c r="A63" s="371"/>
      <c r="B63" s="1177"/>
      <c r="C63" s="29"/>
      <c r="D63" s="1187"/>
      <c r="E63" s="1171" t="s">
        <v>1499</v>
      </c>
      <c r="F63" s="347">
        <f t="shared" ca="1" si="0"/>
        <v>1176.69</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16.7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1.6</v>
      </c>
      <c r="D65" s="1185" t="s">
        <v>1454</v>
      </c>
      <c r="E65" s="1171" t="s">
        <v>1455</v>
      </c>
      <c r="F65" s="375">
        <f t="shared" ca="1" si="0"/>
        <v>1.5E-3</v>
      </c>
      <c r="I65" s="1931" t="s">
        <v>1579</v>
      </c>
      <c r="J65" s="1932">
        <v>40</v>
      </c>
      <c r="K65" s="1932">
        <v>30</v>
      </c>
      <c r="L65" s="1932">
        <v>50</v>
      </c>
      <c r="M65" s="1934">
        <v>0.02</v>
      </c>
      <c r="O65" s="1886" t="s">
        <v>1040</v>
      </c>
      <c r="P65" s="1887" t="s">
        <v>1580</v>
      </c>
      <c r="Q65" s="1888">
        <f ca="1">C40+J29</f>
        <v>2114</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-112</v>
      </c>
      <c r="D67" s="1184" t="s">
        <v>1464</v>
      </c>
      <c r="E67" s="1189"/>
      <c r="F67" s="1190"/>
      <c r="O67" s="1896" t="s">
        <v>1042</v>
      </c>
      <c r="P67" s="1887" t="s">
        <v>1562</v>
      </c>
      <c r="Q67" s="1935">
        <f ca="1">L51</f>
        <v>276</v>
      </c>
      <c r="R67" s="1888" t="s">
        <v>1582</v>
      </c>
    </row>
    <row r="68" spans="1:18" s="1844" customFormat="1" ht="16.5" thickBot="1">
      <c r="A68" s="1168" t="s">
        <v>1032</v>
      </c>
      <c r="B68" s="1169" t="s">
        <v>1485</v>
      </c>
      <c r="C68" s="345">
        <f ca="1">ROUND(C67*(1-((1+F70)/(1+F68))^F69)/(F68-F70),0)</f>
        <v>-1889</v>
      </c>
      <c r="D68" s="1186" t="s">
        <v>1469</v>
      </c>
      <c r="E68" s="1171" t="s">
        <v>1470</v>
      </c>
      <c r="F68" s="356">
        <f ca="1">F40</f>
        <v>0.05</v>
      </c>
      <c r="O68" s="1896" t="s">
        <v>1043</v>
      </c>
      <c r="P68" s="1936" t="s">
        <v>1583</v>
      </c>
      <c r="Q68" s="1888">
        <f ca="1">ROUND(Q69-Q70*Q71,0)</f>
        <v>16</v>
      </c>
      <c r="R68" s="1888" t="s">
        <v>1051</v>
      </c>
    </row>
    <row r="69" spans="1:18" s="1844" customFormat="1" ht="13.5" thickBot="1">
      <c r="A69" s="1172"/>
      <c r="B69" s="1173"/>
      <c r="C69" s="350"/>
      <c r="D69" s="1191" t="s">
        <v>1473</v>
      </c>
      <c r="E69" s="1171" t="s">
        <v>1474</v>
      </c>
      <c r="F69" s="378">
        <f ca="1">F41</f>
        <v>38</v>
      </c>
      <c r="O69" s="1896" t="s">
        <v>1048</v>
      </c>
      <c r="P69" s="1936" t="s">
        <v>1584</v>
      </c>
      <c r="Q69" s="1888">
        <f ca="1">C39</f>
        <v>95</v>
      </c>
      <c r="R69" s="1888" t="s">
        <v>1529</v>
      </c>
    </row>
    <row r="70" spans="1:18" s="1844" customFormat="1" ht="13.5" thickBot="1">
      <c r="A70" s="1175"/>
      <c r="B70" s="1176"/>
      <c r="C70" s="354"/>
      <c r="D70" s="1187"/>
      <c r="E70" s="1171" t="s">
        <v>1477</v>
      </c>
      <c r="F70" s="1277"/>
      <c r="O70" s="1896" t="s">
        <v>1049</v>
      </c>
      <c r="P70" s="1936" t="s">
        <v>1585</v>
      </c>
      <c r="Q70" s="1888">
        <f ca="1">C13</f>
        <v>1054</v>
      </c>
      <c r="R70" s="1888" t="s">
        <v>1529</v>
      </c>
    </row>
    <row r="71" spans="1:18" s="1844" customFormat="1" ht="13.5" thickBot="1">
      <c r="A71" s="1192" t="s">
        <v>1033</v>
      </c>
      <c r="B71" s="1193" t="s">
        <v>1487</v>
      </c>
      <c r="C71" s="381">
        <f ca="1">ROUND(C68*10000/F71,0)</f>
        <v>-4912</v>
      </c>
      <c r="D71" s="1194" t="s">
        <v>1488</v>
      </c>
      <c r="E71" s="1195" t="s">
        <v>1489</v>
      </c>
      <c r="F71" s="384">
        <f ca="1">F43</f>
        <v>3846.04</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79</v>
      </c>
      <c r="D75" s="1844"/>
      <c r="E75" s="1844"/>
      <c r="F75" s="1844"/>
      <c r="K75" s="1870"/>
      <c r="L75" s="1844"/>
      <c r="O75" s="1886" t="s">
        <v>1046</v>
      </c>
      <c r="P75" s="1887" t="s">
        <v>1549</v>
      </c>
      <c r="Q75" s="1888">
        <f ca="1">Q65+Q66</f>
        <v>2114</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0.16800000000000004</v>
      </c>
    </row>
    <row r="80" spans="1:18">
      <c r="B80" s="385" t="s">
        <v>1511</v>
      </c>
      <c r="C80" s="317">
        <f ca="1">ROUND(C75/C39,3)</f>
        <v>0.83199999999999996</v>
      </c>
    </row>
    <row r="81" spans="2:3">
      <c r="B81" s="313" t="s">
        <v>1512</v>
      </c>
      <c r="C81" s="281"/>
    </row>
    <row r="82" spans="2:3">
      <c r="B82" s="316" t="s">
        <v>1513</v>
      </c>
      <c r="C82" s="318">
        <f ca="1">1-C83</f>
        <v>0.501</v>
      </c>
    </row>
    <row r="83" spans="2:3">
      <c r="B83" s="316" t="s">
        <v>1514</v>
      </c>
      <c r="C83" s="317">
        <f ca="1">ROUND(C13/C40,3)</f>
        <v>0.499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7" t="s">
        <v>1403</v>
      </c>
      <c r="C6" s="1298">
        <f ca="1">ROUND(F6*F8*F7*(1-F9),0)</f>
        <v>0</v>
      </c>
      <c r="D6" s="163" t="s">
        <v>3030</v>
      </c>
      <c r="E6" s="346" t="s">
        <v>1405</v>
      </c>
      <c r="F6" s="347">
        <f ca="1">INDIRECT("'数据-取费表'!u"&amp;$G$1)</f>
        <v>0</v>
      </c>
      <c r="G6" s="1853"/>
      <c r="H6" s="1293" t="s">
        <v>1035</v>
      </c>
      <c r="I6" s="3157" t="s">
        <v>1403</v>
      </c>
      <c r="J6" s="345">
        <f ca="1">ROUND(M6*M8*M7*(1-M9),0)</f>
        <v>0</v>
      </c>
      <c r="K6" s="1836" t="s">
        <v>3031</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0</v>
      </c>
      <c r="G7" s="1853"/>
      <c r="H7" s="348"/>
      <c r="I7" s="3158"/>
      <c r="J7" s="350"/>
      <c r="K7" s="351"/>
      <c r="L7" s="346" t="s">
        <v>1406</v>
      </c>
      <c r="M7" s="347">
        <f ca="1">F7</f>
        <v>0</v>
      </c>
    </row>
    <row r="8" spans="1:37" ht="18" customHeight="1">
      <c r="A8" s="348"/>
      <c r="B8" s="3158"/>
      <c r="C8" s="350"/>
      <c r="D8" s="351"/>
      <c r="E8" s="346" t="s">
        <v>1407</v>
      </c>
      <c r="F8" s="347">
        <f ca="1">INDIRECT("'数据-取费表'!ai"&amp;$G$1)</f>
        <v>0</v>
      </c>
      <c r="G8" s="1853"/>
      <c r="H8" s="348"/>
      <c r="I8" s="3158"/>
      <c r="J8" s="350"/>
      <c r="K8" s="351"/>
      <c r="L8" s="346" t="s">
        <v>1407</v>
      </c>
      <c r="M8" s="347">
        <f ca="1">INDIRECT("'数据-取费表'!ai"&amp;$G$1)</f>
        <v>0</v>
      </c>
    </row>
    <row r="9" spans="1:37" ht="18" customHeight="1">
      <c r="A9" s="348"/>
      <c r="B9" s="3159"/>
      <c r="C9" s="350"/>
      <c r="D9" s="351"/>
      <c r="E9" s="346" t="s">
        <v>1408</v>
      </c>
      <c r="F9" s="356">
        <f ca="1">INDIRECT("'数据-取费表'!w"&amp;$G$1)</f>
        <v>0</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0" t="s">
        <v>1548</v>
      </c>
      <c r="L53" s="316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2114</v>
      </c>
      <c r="C2" s="2566" t="s">
        <v>2520</v>
      </c>
      <c r="D2" s="2567" t="s">
        <v>2521</v>
      </c>
      <c r="E2" s="2568">
        <f>SUM(E6:E13)</f>
        <v>3846.04</v>
      </c>
    </row>
    <row r="3" spans="1:6" ht="15.75">
      <c r="A3" s="2564" t="s">
        <v>1395</v>
      </c>
      <c r="B3" s="2565">
        <f ca="1">ROUND(B2*10000/E2,0)</f>
        <v>5497</v>
      </c>
      <c r="C3" s="2566" t="s">
        <v>2528</v>
      </c>
      <c r="D3" s="2569"/>
      <c r="E3" s="2570"/>
    </row>
    <row r="4" spans="1:6" ht="15.75">
      <c r="A4" s="2571"/>
      <c r="B4" s="2569"/>
      <c r="C4" s="2569"/>
      <c r="D4" s="2569"/>
      <c r="E4" s="2570"/>
    </row>
    <row r="5" spans="1:6" ht="15">
      <c r="A5" s="2572" t="s">
        <v>2522</v>
      </c>
      <c r="B5" s="3162" t="s">
        <v>2523</v>
      </c>
      <c r="C5" s="3162"/>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2114</v>
      </c>
      <c r="C7" s="2566" t="s">
        <v>2520</v>
      </c>
      <c r="D7" s="2569"/>
      <c r="E7" s="2577">
        <f>IF(OR(A7=0,F7="否"),0,'数据-取费表'!K7+'数据-取费表'!S7)</f>
        <v>3846.04</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1076</v>
      </c>
      <c r="B1" s="3180"/>
      <c r="C1" s="3181"/>
      <c r="D1" s="3182">
        <f>SUM(I10,I15,I20,I21,I23)</f>
        <v>0</v>
      </c>
      <c r="E1" s="3182"/>
      <c r="F1" s="3182"/>
      <c r="G1" s="3182"/>
      <c r="H1" s="3182"/>
      <c r="I1" s="3183"/>
    </row>
    <row r="2" spans="1:9">
      <c r="A2" s="3169" t="s">
        <v>1077</v>
      </c>
      <c r="B2" s="3170" t="s">
        <v>1078</v>
      </c>
      <c r="C2" s="3170"/>
      <c r="D2" s="1303" t="s">
        <v>1079</v>
      </c>
      <c r="E2" s="1303" t="s">
        <v>1080</v>
      </c>
      <c r="F2" s="1303" t="s">
        <v>1081</v>
      </c>
      <c r="G2" s="1303" t="s">
        <v>1082</v>
      </c>
      <c r="H2" s="1303" t="s">
        <v>1083</v>
      </c>
      <c r="I2" s="1304" t="s">
        <v>1084</v>
      </c>
    </row>
    <row r="3" spans="1:9">
      <c r="A3" s="3169"/>
      <c r="B3" s="3170" t="s">
        <v>1085</v>
      </c>
      <c r="C3" s="3170"/>
      <c r="D3" s="1305"/>
      <c r="E3" s="1303"/>
      <c r="F3" s="1306"/>
      <c r="G3" s="1306"/>
      <c r="H3" s="1307"/>
      <c r="I3" s="1308">
        <f>ROUND(D3*E3*F3*G3*H3/10000,0)</f>
        <v>0</v>
      </c>
    </row>
    <row r="4" spans="1:9">
      <c r="A4" s="3169"/>
      <c r="B4" s="3170" t="s">
        <v>1086</v>
      </c>
      <c r="C4" s="3170"/>
      <c r="D4" s="1305"/>
      <c r="E4" s="1303"/>
      <c r="F4" s="1306"/>
      <c r="G4" s="1306"/>
      <c r="H4" s="1307"/>
      <c r="I4" s="1308">
        <f t="shared" ref="I4:I9" si="0">ROUND(D4*E4*F4*G4*H4/10000,0)</f>
        <v>0</v>
      </c>
    </row>
    <row r="5" spans="1:9">
      <c r="A5" s="3169"/>
      <c r="B5" s="3170" t="s">
        <v>1087</v>
      </c>
      <c r="C5" s="3170"/>
      <c r="D5" s="1305"/>
      <c r="E5" s="1303"/>
      <c r="F5" s="1306"/>
      <c r="G5" s="1306"/>
      <c r="H5" s="1307"/>
      <c r="I5" s="1308">
        <f t="shared" si="0"/>
        <v>0</v>
      </c>
    </row>
    <row r="6" spans="1:9">
      <c r="A6" s="3169"/>
      <c r="B6" s="3170" t="s">
        <v>1088</v>
      </c>
      <c r="C6" s="3170"/>
      <c r="D6" s="1305"/>
      <c r="E6" s="1303"/>
      <c r="F6" s="1306"/>
      <c r="G6" s="1306"/>
      <c r="H6" s="1307"/>
      <c r="I6" s="1308">
        <f t="shared" si="0"/>
        <v>0</v>
      </c>
    </row>
    <row r="7" spans="1:9">
      <c r="A7" s="3169"/>
      <c r="B7" s="3170" t="s">
        <v>1089</v>
      </c>
      <c r="C7" s="3170"/>
      <c r="D7" s="1305"/>
      <c r="E7" s="1303"/>
      <c r="F7" s="1306"/>
      <c r="G7" s="1306"/>
      <c r="H7" s="1307"/>
      <c r="I7" s="1308">
        <f t="shared" si="0"/>
        <v>0</v>
      </c>
    </row>
    <row r="8" spans="1:9">
      <c r="A8" s="3169"/>
      <c r="B8" s="3170" t="s">
        <v>1090</v>
      </c>
      <c r="C8" s="3170"/>
      <c r="D8" s="1305"/>
      <c r="E8" s="1303"/>
      <c r="F8" s="1306"/>
      <c r="G8" s="1306"/>
      <c r="H8" s="1307"/>
      <c r="I8" s="1308">
        <f t="shared" si="0"/>
        <v>0</v>
      </c>
    </row>
    <row r="9" spans="1:9">
      <c r="A9" s="3169"/>
      <c r="B9" s="3170" t="s">
        <v>1091</v>
      </c>
      <c r="C9" s="3170"/>
      <c r="D9" s="1305"/>
      <c r="E9" s="1303"/>
      <c r="F9" s="1306"/>
      <c r="G9" s="1306"/>
      <c r="H9" s="1307"/>
      <c r="I9" s="1308">
        <f t="shared" si="0"/>
        <v>0</v>
      </c>
    </row>
    <row r="10" spans="1:9">
      <c r="A10" s="3169"/>
      <c r="B10" s="3171" t="s">
        <v>1092</v>
      </c>
      <c r="C10" s="3171"/>
      <c r="D10" s="1309"/>
      <c r="E10" s="1309" t="e">
        <f>ROUND(D1*10000/D10/H9,0)</f>
        <v>#DIV/0!</v>
      </c>
      <c r="F10" s="1310"/>
      <c r="G10" s="1310"/>
      <c r="H10" s="1311"/>
      <c r="I10" s="1312">
        <f>SUM(I3:I9)</f>
        <v>0</v>
      </c>
    </row>
    <row r="11" spans="1:9" ht="14.25">
      <c r="A11" s="3169" t="s">
        <v>1093</v>
      </c>
      <c r="B11" s="3170" t="s">
        <v>1094</v>
      </c>
      <c r="C11" s="3170"/>
      <c r="D11" s="1305" t="s">
        <v>1095</v>
      </c>
      <c r="E11" s="1305" t="s">
        <v>1096</v>
      </c>
      <c r="F11" s="1306" t="s">
        <v>1097</v>
      </c>
      <c r="G11" s="1306" t="s">
        <v>1083</v>
      </c>
      <c r="H11" s="1313" t="s">
        <v>1098</v>
      </c>
      <c r="I11" s="1304" t="s">
        <v>1084</v>
      </c>
    </row>
    <row r="12" spans="1:9">
      <c r="A12" s="3169"/>
      <c r="B12" s="3170" t="s">
        <v>1099</v>
      </c>
      <c r="C12" s="3170"/>
      <c r="D12" s="1305"/>
      <c r="E12" s="1305"/>
      <c r="F12" s="1306"/>
      <c r="G12" s="1307"/>
      <c r="H12" s="1314"/>
      <c r="I12" s="1304">
        <f>ROUND(D12*E12*F12*G12/10000,0)</f>
        <v>0</v>
      </c>
    </row>
    <row r="13" spans="1:9">
      <c r="A13" s="3169"/>
      <c r="B13" s="3170" t="s">
        <v>1100</v>
      </c>
      <c r="C13" s="3170"/>
      <c r="D13" s="1305"/>
      <c r="E13" s="1305"/>
      <c r="F13" s="1306"/>
      <c r="G13" s="1307"/>
      <c r="H13" s="1314"/>
      <c r="I13" s="1304">
        <f>ROUND(D13*E13*F13*G13/10000,0)</f>
        <v>0</v>
      </c>
    </row>
    <row r="14" spans="1:9">
      <c r="A14" s="3169"/>
      <c r="B14" s="3170" t="s">
        <v>1101</v>
      </c>
      <c r="C14" s="3170"/>
      <c r="D14" s="1305"/>
      <c r="E14" s="1305"/>
      <c r="F14" s="1306"/>
      <c r="G14" s="1307"/>
      <c r="H14" s="1314"/>
      <c r="I14" s="1304">
        <f>ROUND(D14*E14*F14*G14/10000,0)</f>
        <v>0</v>
      </c>
    </row>
    <row r="15" spans="1:9">
      <c r="A15" s="3169"/>
      <c r="B15" s="3171" t="s">
        <v>1092</v>
      </c>
      <c r="C15" s="3171"/>
      <c r="D15" s="1309"/>
      <c r="E15" s="1309">
        <f>SUM(E12:E14)</f>
        <v>0</v>
      </c>
      <c r="F15" s="1310"/>
      <c r="G15" s="1307"/>
      <c r="H15" s="1314"/>
      <c r="I15" s="1315">
        <f>SUM(I12:I14)</f>
        <v>0</v>
      </c>
    </row>
    <row r="16" spans="1:9" ht="24">
      <c r="A16" s="3169" t="s">
        <v>1102</v>
      </c>
      <c r="B16" s="3170" t="s">
        <v>1103</v>
      </c>
      <c r="C16" s="3170"/>
      <c r="D16" s="1305" t="s">
        <v>1079</v>
      </c>
      <c r="E16" s="1316" t="s">
        <v>1104</v>
      </c>
      <c r="F16" s="1306" t="s">
        <v>1105</v>
      </c>
      <c r="G16" s="1307" t="s">
        <v>1083</v>
      </c>
      <c r="H16" s="1313" t="s">
        <v>1098</v>
      </c>
      <c r="I16" s="1304" t="s">
        <v>1084</v>
      </c>
    </row>
    <row r="17" spans="1:9" ht="14.25">
      <c r="A17" s="3169"/>
      <c r="B17" s="3170" t="s">
        <v>1106</v>
      </c>
      <c r="C17" s="3170"/>
      <c r="D17" s="1305"/>
      <c r="E17" s="1305"/>
      <c r="F17" s="1306"/>
      <c r="G17" s="1307"/>
      <c r="H17" s="1317"/>
      <c r="I17" s="1318">
        <f>ROUND(D17*E17*F17*G17/10000,0)</f>
        <v>0</v>
      </c>
    </row>
    <row r="18" spans="1:9" ht="14.25">
      <c r="A18" s="3169"/>
      <c r="B18" s="3170" t="s">
        <v>1107</v>
      </c>
      <c r="C18" s="3170"/>
      <c r="D18" s="1305"/>
      <c r="E18" s="1305"/>
      <c r="F18" s="1306"/>
      <c r="G18" s="1307"/>
      <c r="H18" s="1317"/>
      <c r="I18" s="1318">
        <f>ROUND(D18*E18*F18*G18/10000,0)</f>
        <v>0</v>
      </c>
    </row>
    <row r="19" spans="1:9" ht="14.25">
      <c r="A19" s="3169"/>
      <c r="B19" s="3170" t="s">
        <v>1108</v>
      </c>
      <c r="C19" s="3170"/>
      <c r="D19" s="1305"/>
      <c r="E19" s="1305"/>
      <c r="F19" s="1306"/>
      <c r="G19" s="1307"/>
      <c r="H19" s="1317"/>
      <c r="I19" s="1318">
        <f>ROUND(D19*E19*F19*G19/10000,0)</f>
        <v>0</v>
      </c>
    </row>
    <row r="20" spans="1:9">
      <c r="A20" s="3169"/>
      <c r="B20" s="3171" t="s">
        <v>1092</v>
      </c>
      <c r="C20" s="3171"/>
      <c r="D20" s="1309">
        <f>SUM(D17:D19)</f>
        <v>0</v>
      </c>
      <c r="E20" s="1309"/>
      <c r="F20" s="1310"/>
      <c r="G20" s="1307"/>
      <c r="H20" s="1314"/>
      <c r="I20" s="1315">
        <f>SUM(I17:I19)</f>
        <v>0</v>
      </c>
    </row>
    <row r="21" spans="1:9">
      <c r="A21" s="3169" t="s">
        <v>1109</v>
      </c>
      <c r="B21" s="3172"/>
      <c r="C21" s="3172"/>
      <c r="D21" s="3172"/>
      <c r="E21" s="3172"/>
      <c r="F21" s="3172"/>
      <c r="G21" s="3172"/>
      <c r="H21" s="1767">
        <v>0.1</v>
      </c>
      <c r="I21" s="1312">
        <f>ROUND(I10*H21,0)</f>
        <v>0</v>
      </c>
    </row>
    <row r="22" spans="1:9" ht="14.25">
      <c r="A22" s="3173" t="s">
        <v>1110</v>
      </c>
      <c r="B22" s="3174"/>
      <c r="C22" s="3175"/>
      <c r="D22" s="1319" t="s">
        <v>1111</v>
      </c>
      <c r="E22" s="1319" t="s">
        <v>1112</v>
      </c>
      <c r="F22" s="1320" t="s">
        <v>1113</v>
      </c>
      <c r="G22" s="1320" t="s">
        <v>1114</v>
      </c>
      <c r="H22" s="1313" t="s">
        <v>1115</v>
      </c>
      <c r="I22" s="1304" t="s">
        <v>1116</v>
      </c>
    </row>
    <row r="23" spans="1:9" ht="14.25" thickBot="1">
      <c r="A23" s="3176"/>
      <c r="B23" s="3177"/>
      <c r="C23" s="3178"/>
      <c r="D23" s="1321"/>
      <c r="E23" s="1321"/>
      <c r="F23" s="1321"/>
      <c r="G23" s="1322"/>
      <c r="H23" s="1323"/>
      <c r="I23" s="1324">
        <f>ROUND(E23*D23*F23*(1-G23)/10000,0)</f>
        <v>0</v>
      </c>
    </row>
    <row r="26" spans="1:9">
      <c r="A26" s="1325" t="s">
        <v>1117</v>
      </c>
      <c r="B26" s="1325"/>
      <c r="C26" s="1325"/>
      <c r="D26" s="1325"/>
      <c r="E26" s="3166">
        <f>C27-C30-C31-C32</f>
        <v>0</v>
      </c>
      <c r="F26" s="3166"/>
      <c r="G26" s="3166"/>
      <c r="H26" s="1739" t="s">
        <v>1340</v>
      </c>
    </row>
    <row r="27" spans="1:9">
      <c r="A27" s="1326">
        <v>1</v>
      </c>
      <c r="B27" s="1327" t="s">
        <v>1118</v>
      </c>
      <c r="C27" s="1327">
        <f>C28+C29</f>
        <v>0</v>
      </c>
      <c r="D27" s="1327"/>
      <c r="E27" s="3167"/>
      <c r="F27" s="3167"/>
      <c r="G27" s="3167"/>
    </row>
    <row r="28" spans="1:9">
      <c r="A28" s="1328" t="s">
        <v>1119</v>
      </c>
      <c r="B28" s="1327" t="s">
        <v>1120</v>
      </c>
      <c r="C28" s="1327"/>
      <c r="D28" s="1327"/>
      <c r="E28" s="3167"/>
      <c r="F28" s="3167"/>
      <c r="G28" s="316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8"/>
      <c r="F32" s="3168"/>
      <c r="G32" s="3168"/>
    </row>
    <row r="33" spans="1:7" hidden="1">
      <c r="A33" s="3163" t="s">
        <v>1129</v>
      </c>
      <c r="B33" s="3164"/>
      <c r="C33" s="3164"/>
      <c r="D33" s="3165"/>
      <c r="E33" s="3166"/>
      <c r="F33" s="3166"/>
      <c r="G33" s="3166"/>
    </row>
    <row r="34" spans="1:7" hidden="1">
      <c r="A34" s="1330">
        <v>1</v>
      </c>
      <c r="B34" s="1327" t="s">
        <v>1130</v>
      </c>
      <c r="C34" s="1327"/>
      <c r="D34" s="1327"/>
      <c r="E34" s="3167"/>
      <c r="F34" s="3167"/>
      <c r="G34" s="3167"/>
    </row>
    <row r="35" spans="1:7" hidden="1">
      <c r="A35" s="1330">
        <v>2</v>
      </c>
      <c r="B35" s="1327" t="s">
        <v>1131</v>
      </c>
      <c r="C35" s="1327"/>
      <c r="D35" s="1327"/>
      <c r="E35" s="3167"/>
      <c r="F35" s="3167"/>
      <c r="G35" s="3167"/>
    </row>
    <row r="36" spans="1:7" hidden="1">
      <c r="A36" s="1330">
        <v>3</v>
      </c>
      <c r="B36" s="1327" t="s">
        <v>1132</v>
      </c>
      <c r="C36" s="1327"/>
      <c r="D36" s="1327"/>
      <c r="E36" s="3167"/>
      <c r="F36" s="3167"/>
      <c r="G36" s="3167"/>
    </row>
    <row r="37" spans="1:7" hidden="1">
      <c r="A37" s="1330">
        <v>4</v>
      </c>
      <c r="B37" s="1327" t="s">
        <v>1133</v>
      </c>
      <c r="C37" s="1327"/>
      <c r="D37" s="1327"/>
      <c r="E37" s="3167"/>
      <c r="F37" s="3167"/>
      <c r="G37" s="3167"/>
    </row>
    <row r="38" spans="1:7" hidden="1">
      <c r="A38" s="3163" t="s">
        <v>1134</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3846.04</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2" t="s">
        <v>2537</v>
      </c>
      <c r="D4" s="3203"/>
      <c r="E4" s="3204" t="s">
        <v>2538</v>
      </c>
      <c r="F4" s="3205"/>
      <c r="G4" s="3202" t="s">
        <v>2539</v>
      </c>
      <c r="H4" s="3203"/>
      <c r="I4" s="3202" t="s">
        <v>2540</v>
      </c>
      <c r="J4" s="3203"/>
      <c r="K4" s="2596" t="s">
        <v>2541</v>
      </c>
      <c r="L4" s="1132"/>
      <c r="M4" s="1133"/>
      <c r="N4" s="1133"/>
      <c r="O4" s="1133"/>
      <c r="P4" s="3206" t="s">
        <v>2542</v>
      </c>
      <c r="Q4" s="3207"/>
      <c r="R4" s="3212" t="s">
        <v>2538</v>
      </c>
      <c r="S4" s="3213"/>
      <c r="T4" s="3212" t="s">
        <v>2539</v>
      </c>
      <c r="U4" s="3213"/>
      <c r="V4" s="3218" t="s">
        <v>2540</v>
      </c>
      <c r="W4" s="3218"/>
      <c r="X4" s="1815"/>
      <c r="Y4" s="3212" t="s">
        <v>2542</v>
      </c>
      <c r="Z4" s="3213"/>
      <c r="AA4" s="3199" t="s">
        <v>2538</v>
      </c>
      <c r="AB4" s="3199" t="s">
        <v>2539</v>
      </c>
      <c r="AC4" s="3199" t="s">
        <v>2540</v>
      </c>
    </row>
    <row r="5" spans="1:29" ht="15">
      <c r="A5" s="403"/>
      <c r="B5" s="404"/>
      <c r="C5" s="3221" t="s">
        <v>2543</v>
      </c>
      <c r="D5" s="3222"/>
      <c r="E5" s="3228" t="s">
        <v>2544</v>
      </c>
      <c r="F5" s="3229"/>
      <c r="G5" s="3221" t="s">
        <v>2545</v>
      </c>
      <c r="H5" s="3222"/>
      <c r="I5" s="3221" t="s">
        <v>2546</v>
      </c>
      <c r="J5" s="3222"/>
      <c r="K5" s="2597"/>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2597"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223" t="s">
        <v>2550</v>
      </c>
      <c r="Q7" s="3225"/>
      <c r="R7" s="769" t="s">
        <v>23</v>
      </c>
      <c r="S7" s="770">
        <f t="shared" ref="S7:S15" si="0">F7</f>
        <v>0</v>
      </c>
      <c r="T7" s="769" t="s">
        <v>23</v>
      </c>
      <c r="U7" s="770">
        <f t="shared" ref="U7:U15" si="1">H7</f>
        <v>0</v>
      </c>
      <c r="V7" s="769" t="s">
        <v>23</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223" t="s">
        <v>2553</v>
      </c>
      <c r="Q8" s="3224"/>
      <c r="R8" s="769" t="s">
        <v>23</v>
      </c>
      <c r="S8" s="770">
        <f t="shared" si="0"/>
        <v>0</v>
      </c>
      <c r="T8" s="769" t="s">
        <v>23</v>
      </c>
      <c r="U8" s="770">
        <f t="shared" si="1"/>
        <v>0</v>
      </c>
      <c r="V8" s="769" t="s">
        <v>23</v>
      </c>
      <c r="W8" s="770">
        <f t="shared" si="2"/>
        <v>0</v>
      </c>
      <c r="X8" s="771"/>
      <c r="Y8" s="3223" t="s">
        <v>2553</v>
      </c>
      <c r="Z8" s="3224"/>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8"/>
      <c r="Q11" s="1797"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198"/>
      <c r="Q12" s="1797">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8"/>
      <c r="Q13" s="1797">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8"/>
      <c r="Q14" s="1797">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6" t="s">
        <v>2561</v>
      </c>
      <c r="Q15" s="1812" t="str">
        <f t="shared" si="6"/>
        <v>居住社区成熟度</v>
      </c>
      <c r="R15" s="773" t="s">
        <v>21</v>
      </c>
      <c r="S15" s="774">
        <f t="shared" si="0"/>
        <v>100</v>
      </c>
      <c r="T15" s="773" t="s">
        <v>21</v>
      </c>
      <c r="U15" s="774">
        <f t="shared" si="1"/>
        <v>100</v>
      </c>
      <c r="V15" s="773" t="s">
        <v>21</v>
      </c>
      <c r="W15" s="774">
        <f t="shared" si="2"/>
        <v>100</v>
      </c>
      <c r="X15" s="1815"/>
      <c r="Y15" s="3189"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197"/>
      <c r="Q16" s="1812"/>
      <c r="R16" s="773"/>
      <c r="S16" s="774"/>
      <c r="T16" s="773"/>
      <c r="U16" s="774"/>
      <c r="V16" s="773"/>
      <c r="W16" s="774"/>
      <c r="X16" s="1815"/>
      <c r="Y16" s="3190"/>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7"/>
      <c r="Q17" s="1812" t="str">
        <f>B17</f>
        <v>交通便捷度</v>
      </c>
      <c r="R17" s="773" t="s">
        <v>21</v>
      </c>
      <c r="S17" s="774">
        <f>F17</f>
        <v>100</v>
      </c>
      <c r="T17" s="773" t="s">
        <v>21</v>
      </c>
      <c r="U17" s="774">
        <f>H17</f>
        <v>100</v>
      </c>
      <c r="V17" s="773" t="s">
        <v>21</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197"/>
      <c r="Q18" s="1812"/>
      <c r="R18" s="773"/>
      <c r="S18" s="774"/>
      <c r="T18" s="773"/>
      <c r="U18" s="774"/>
      <c r="V18" s="773"/>
      <c r="W18" s="774"/>
      <c r="X18" s="1815"/>
      <c r="Y18" s="3190"/>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7"/>
      <c r="Q19" s="1812" t="str">
        <f>B19</f>
        <v>公共配套设施</v>
      </c>
      <c r="R19" s="773" t="s">
        <v>21</v>
      </c>
      <c r="S19" s="774">
        <f>F19</f>
        <v>100</v>
      </c>
      <c r="T19" s="773" t="s">
        <v>21</v>
      </c>
      <c r="U19" s="774">
        <f>H19</f>
        <v>100</v>
      </c>
      <c r="V19" s="773" t="s">
        <v>21</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197"/>
      <c r="Q20" s="1812"/>
      <c r="R20" s="773"/>
      <c r="S20" s="774"/>
      <c r="T20" s="773"/>
      <c r="U20" s="774"/>
      <c r="V20" s="773"/>
      <c r="W20" s="774"/>
      <c r="X20" s="1815"/>
      <c r="Y20" s="3190"/>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197"/>
      <c r="Q22" s="1812"/>
      <c r="R22" s="773"/>
      <c r="S22" s="774"/>
      <c r="T22" s="773"/>
      <c r="U22" s="774"/>
      <c r="V22" s="773"/>
      <c r="W22" s="774"/>
      <c r="X22" s="1815"/>
      <c r="Y22" s="3190"/>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7"/>
      <c r="Q23" s="1812" t="str">
        <f>B23</f>
        <v>自然及人文环境</v>
      </c>
      <c r="R23" s="773" t="s">
        <v>21</v>
      </c>
      <c r="S23" s="774">
        <f>F23</f>
        <v>100</v>
      </c>
      <c r="T23" s="773" t="s">
        <v>21</v>
      </c>
      <c r="U23" s="774">
        <f>H23</f>
        <v>100</v>
      </c>
      <c r="V23" s="773" t="s">
        <v>21</v>
      </c>
      <c r="W23" s="774">
        <f>J23</f>
        <v>100</v>
      </c>
      <c r="X23" s="1815"/>
      <c r="Y23" s="3190"/>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197"/>
      <c r="Q24" s="1812"/>
      <c r="R24" s="773"/>
      <c r="S24" s="774"/>
      <c r="T24" s="773"/>
      <c r="U24" s="774"/>
      <c r="V24" s="773"/>
      <c r="W24" s="774"/>
      <c r="X24" s="1815"/>
      <c r="Y24" s="3190"/>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19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0"/>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197"/>
      <c r="Q26" s="1812" t="str">
        <f t="shared" si="11"/>
        <v>朝向</v>
      </c>
      <c r="R26" s="773" t="s">
        <v>21</v>
      </c>
      <c r="S26" s="774">
        <f t="shared" si="12"/>
        <v>100</v>
      </c>
      <c r="T26" s="773" t="s">
        <v>21</v>
      </c>
      <c r="U26" s="774">
        <f t="shared" si="13"/>
        <v>100</v>
      </c>
      <c r="V26" s="773" t="s">
        <v>21</v>
      </c>
      <c r="W26" s="774">
        <f t="shared" si="14"/>
        <v>100</v>
      </c>
      <c r="X26" s="1815"/>
      <c r="Y26" s="3190"/>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197"/>
      <c r="Q27" s="1797">
        <f t="shared" si="11"/>
        <v>111</v>
      </c>
      <c r="R27" s="769" t="s">
        <v>21</v>
      </c>
      <c r="S27" s="770">
        <f t="shared" si="12"/>
        <v>100</v>
      </c>
      <c r="T27" s="769" t="s">
        <v>21</v>
      </c>
      <c r="U27" s="770">
        <f t="shared" si="13"/>
        <v>100</v>
      </c>
      <c r="V27" s="769" t="s">
        <v>21</v>
      </c>
      <c r="W27" s="770">
        <f t="shared" si="14"/>
        <v>100</v>
      </c>
      <c r="X27" s="771"/>
      <c r="Y27" s="319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197"/>
      <c r="Q28" s="1812">
        <f t="shared" si="11"/>
        <v>111</v>
      </c>
      <c r="R28" s="773" t="s">
        <v>21</v>
      </c>
      <c r="S28" s="774">
        <f t="shared" si="12"/>
        <v>100</v>
      </c>
      <c r="T28" s="773" t="s">
        <v>21</v>
      </c>
      <c r="U28" s="774">
        <f t="shared" si="13"/>
        <v>100</v>
      </c>
      <c r="V28" s="773" t="s">
        <v>21</v>
      </c>
      <c r="W28" s="774">
        <f t="shared" si="14"/>
        <v>100</v>
      </c>
      <c r="X28" s="1815"/>
      <c r="Y28" s="319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197"/>
      <c r="Q29" s="1812">
        <f t="shared" si="11"/>
        <v>111</v>
      </c>
      <c r="R29" s="773" t="s">
        <v>21</v>
      </c>
      <c r="S29" s="774">
        <f t="shared" si="12"/>
        <v>100</v>
      </c>
      <c r="T29" s="773" t="s">
        <v>21</v>
      </c>
      <c r="U29" s="774">
        <f t="shared" si="13"/>
        <v>100</v>
      </c>
      <c r="V29" s="773" t="s">
        <v>21</v>
      </c>
      <c r="W29" s="774">
        <f t="shared" si="14"/>
        <v>100</v>
      </c>
      <c r="X29" s="1815"/>
      <c r="Y29" s="319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197"/>
      <c r="Q30" s="1812">
        <f t="shared" si="11"/>
        <v>111</v>
      </c>
      <c r="R30" s="773" t="s">
        <v>21</v>
      </c>
      <c r="S30" s="774">
        <f t="shared" si="12"/>
        <v>100</v>
      </c>
      <c r="T30" s="773" t="s">
        <v>21</v>
      </c>
      <c r="U30" s="774">
        <f t="shared" si="13"/>
        <v>100</v>
      </c>
      <c r="V30" s="773" t="s">
        <v>21</v>
      </c>
      <c r="W30" s="774">
        <f t="shared" si="14"/>
        <v>100</v>
      </c>
      <c r="X30" s="1815"/>
      <c r="Y30" s="319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197"/>
      <c r="Q31" s="1812">
        <f t="shared" si="11"/>
        <v>111</v>
      </c>
      <c r="R31" s="773" t="s">
        <v>21</v>
      </c>
      <c r="S31" s="774">
        <f t="shared" si="12"/>
        <v>100</v>
      </c>
      <c r="T31" s="773" t="s">
        <v>21</v>
      </c>
      <c r="U31" s="774">
        <f t="shared" si="13"/>
        <v>100</v>
      </c>
      <c r="V31" s="773" t="s">
        <v>21</v>
      </c>
      <c r="W31" s="774">
        <f t="shared" si="14"/>
        <v>100</v>
      </c>
      <c r="X31" s="1815"/>
      <c r="Y31" s="3190"/>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191" t="s">
        <v>2566</v>
      </c>
      <c r="Q32" s="1812" t="str">
        <f t="shared" si="11"/>
        <v>建筑类型</v>
      </c>
      <c r="R32" s="773" t="s">
        <v>21</v>
      </c>
      <c r="S32" s="774">
        <f t="shared" si="12"/>
        <v>100</v>
      </c>
      <c r="T32" s="773" t="s">
        <v>21</v>
      </c>
      <c r="U32" s="774">
        <f t="shared" si="13"/>
        <v>100</v>
      </c>
      <c r="V32" s="773" t="s">
        <v>21</v>
      </c>
      <c r="W32" s="774">
        <f t="shared" si="14"/>
        <v>100</v>
      </c>
      <c r="X32" s="1815"/>
      <c r="Y32" s="3194"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192"/>
      <c r="Q34" s="1812" t="str">
        <f t="shared" si="11"/>
        <v>建筑结构</v>
      </c>
      <c r="R34" s="773" t="s">
        <v>21</v>
      </c>
      <c r="S34" s="774">
        <f t="shared" si="12"/>
        <v>100</v>
      </c>
      <c r="T34" s="773" t="s">
        <v>21</v>
      </c>
      <c r="U34" s="774">
        <f t="shared" si="13"/>
        <v>100</v>
      </c>
      <c r="V34" s="773" t="s">
        <v>21</v>
      </c>
      <c r="W34" s="774">
        <f t="shared" si="14"/>
        <v>100</v>
      </c>
      <c r="X34" s="1815"/>
      <c r="Y34" s="3194"/>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192"/>
      <c r="Q35" s="1812" t="str">
        <f t="shared" si="11"/>
        <v>建筑品质</v>
      </c>
      <c r="R35" s="773" t="s">
        <v>21</v>
      </c>
      <c r="S35" s="774">
        <f t="shared" si="12"/>
        <v>100</v>
      </c>
      <c r="T35" s="773" t="s">
        <v>21</v>
      </c>
      <c r="U35" s="774">
        <f t="shared" si="13"/>
        <v>100</v>
      </c>
      <c r="V35" s="773" t="s">
        <v>21</v>
      </c>
      <c r="W35" s="774">
        <f t="shared" si="14"/>
        <v>100</v>
      </c>
      <c r="X35" s="1815"/>
      <c r="Y35" s="3194"/>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192"/>
      <c r="Q36" s="1812" t="str">
        <f t="shared" si="11"/>
        <v>公共部分装修</v>
      </c>
      <c r="R36" s="773" t="s">
        <v>21</v>
      </c>
      <c r="S36" s="774">
        <f t="shared" si="12"/>
        <v>100</v>
      </c>
      <c r="T36" s="773" t="s">
        <v>21</v>
      </c>
      <c r="U36" s="774">
        <f t="shared" si="13"/>
        <v>100</v>
      </c>
      <c r="V36" s="773" t="s">
        <v>21</v>
      </c>
      <c r="W36" s="774">
        <f t="shared" si="14"/>
        <v>100</v>
      </c>
      <c r="X36" s="1815"/>
      <c r="Y36" s="3194"/>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92"/>
      <c r="Q37" s="1797" t="str">
        <f t="shared" si="11"/>
        <v>成新度</v>
      </c>
      <c r="R37" s="769" t="s">
        <v>21</v>
      </c>
      <c r="S37" s="770" t="e">
        <f t="shared" si="12"/>
        <v>#N/A</v>
      </c>
      <c r="T37" s="769" t="s">
        <v>21</v>
      </c>
      <c r="U37" s="770" t="e">
        <f t="shared" si="13"/>
        <v>#N/A</v>
      </c>
      <c r="V37" s="769" t="s">
        <v>21</v>
      </c>
      <c r="W37" s="770" t="e">
        <f t="shared" si="14"/>
        <v>#N/A</v>
      </c>
      <c r="X37" s="771"/>
      <c r="Y37" s="3194"/>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192" t="s">
        <v>2566</v>
      </c>
      <c r="Q38" s="1812" t="str">
        <f t="shared" si="11"/>
        <v>物业管理</v>
      </c>
      <c r="R38" s="773" t="s">
        <v>21</v>
      </c>
      <c r="S38" s="774">
        <f t="shared" si="12"/>
        <v>100</v>
      </c>
      <c r="T38" s="773" t="s">
        <v>21</v>
      </c>
      <c r="U38" s="774">
        <f t="shared" si="13"/>
        <v>100</v>
      </c>
      <c r="V38" s="773" t="s">
        <v>21</v>
      </c>
      <c r="W38" s="774">
        <f t="shared" si="14"/>
        <v>100</v>
      </c>
      <c r="X38" s="1815"/>
      <c r="Y38" s="3194"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192"/>
      <c r="Q39" s="1812" t="str">
        <f t="shared" si="11"/>
        <v>市政基础设施</v>
      </c>
      <c r="R39" s="773" t="s">
        <v>21</v>
      </c>
      <c r="S39" s="774">
        <f t="shared" si="12"/>
        <v>100</v>
      </c>
      <c r="T39" s="773" t="s">
        <v>21</v>
      </c>
      <c r="U39" s="774">
        <f t="shared" si="13"/>
        <v>100</v>
      </c>
      <c r="V39" s="773" t="s">
        <v>21</v>
      </c>
      <c r="W39" s="774">
        <f t="shared" si="14"/>
        <v>100</v>
      </c>
      <c r="X39" s="1815"/>
      <c r="Y39" s="3194"/>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192"/>
      <c r="Q40" s="1812" t="str">
        <f t="shared" si="11"/>
        <v>房型</v>
      </c>
      <c r="R40" s="773" t="s">
        <v>21</v>
      </c>
      <c r="S40" s="774">
        <f t="shared" si="12"/>
        <v>100</v>
      </c>
      <c r="T40" s="773" t="s">
        <v>21</v>
      </c>
      <c r="U40" s="774">
        <f t="shared" si="13"/>
        <v>100</v>
      </c>
      <c r="V40" s="773" t="s">
        <v>21</v>
      </c>
      <c r="W40" s="774">
        <f t="shared" si="14"/>
        <v>100</v>
      </c>
      <c r="X40" s="1815"/>
      <c r="Y40" s="3194"/>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192"/>
      <c r="Q42" s="1812" t="str">
        <f t="shared" si="11"/>
        <v>内部装修</v>
      </c>
      <c r="R42" s="773" t="s">
        <v>21</v>
      </c>
      <c r="S42" s="774">
        <f t="shared" si="12"/>
        <v>100</v>
      </c>
      <c r="T42" s="773" t="s">
        <v>21</v>
      </c>
      <c r="U42" s="774">
        <f t="shared" si="13"/>
        <v>100</v>
      </c>
      <c r="V42" s="773" t="s">
        <v>21</v>
      </c>
      <c r="W42" s="774">
        <f t="shared" si="14"/>
        <v>100</v>
      </c>
      <c r="X42" s="1815"/>
      <c r="Y42" s="3194"/>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192"/>
      <c r="Q43" s="1812" t="str">
        <f t="shared" si="11"/>
        <v>内部装修维护情况</v>
      </c>
      <c r="R43" s="773" t="s">
        <v>21</v>
      </c>
      <c r="S43" s="774">
        <f t="shared" si="12"/>
        <v>100</v>
      </c>
      <c r="T43" s="773" t="s">
        <v>21</v>
      </c>
      <c r="U43" s="774">
        <f t="shared" si="13"/>
        <v>100</v>
      </c>
      <c r="V43" s="773" t="s">
        <v>21</v>
      </c>
      <c r="W43" s="774">
        <f t="shared" si="14"/>
        <v>100</v>
      </c>
      <c r="X43" s="1815"/>
      <c r="Y43" s="3194"/>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192"/>
      <c r="Q44" s="1797">
        <f t="shared" si="11"/>
        <v>111</v>
      </c>
      <c r="R44" s="769" t="s">
        <v>21</v>
      </c>
      <c r="S44" s="770">
        <f t="shared" si="12"/>
        <v>100</v>
      </c>
      <c r="T44" s="769" t="s">
        <v>21</v>
      </c>
      <c r="U44" s="770">
        <f t="shared" si="13"/>
        <v>100</v>
      </c>
      <c r="V44" s="769" t="s">
        <v>21</v>
      </c>
      <c r="W44" s="770">
        <f t="shared" si="14"/>
        <v>100</v>
      </c>
      <c r="X44" s="771"/>
      <c r="Y44" s="319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192"/>
      <c r="Q45" s="1812">
        <f t="shared" si="11"/>
        <v>111</v>
      </c>
      <c r="R45" s="773" t="s">
        <v>21</v>
      </c>
      <c r="S45" s="774">
        <f t="shared" si="12"/>
        <v>100</v>
      </c>
      <c r="T45" s="773" t="s">
        <v>21</v>
      </c>
      <c r="U45" s="774">
        <f t="shared" si="13"/>
        <v>100</v>
      </c>
      <c r="V45" s="773" t="s">
        <v>21</v>
      </c>
      <c r="W45" s="774">
        <f t="shared" si="14"/>
        <v>100</v>
      </c>
      <c r="X45" s="1815"/>
      <c r="Y45" s="3194"/>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193"/>
      <c r="Q46" s="1812">
        <f t="shared" si="11"/>
        <v>111</v>
      </c>
      <c r="R46" s="773" t="s">
        <v>20</v>
      </c>
      <c r="S46" s="774">
        <f t="shared" si="12"/>
        <v>100</v>
      </c>
      <c r="T46" s="773" t="s">
        <v>20</v>
      </c>
      <c r="U46" s="774">
        <f t="shared" si="13"/>
        <v>100</v>
      </c>
      <c r="V46" s="773" t="s">
        <v>20</v>
      </c>
      <c r="W46" s="774">
        <f t="shared" si="14"/>
        <v>100</v>
      </c>
      <c r="X46" s="1815"/>
      <c r="Y46" s="3195"/>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3846.04</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18"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18"/>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18"/>
      <c r="AC6" s="3201"/>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8"/>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6" t="s">
        <v>2561</v>
      </c>
      <c r="Q15" s="1812" t="str">
        <f t="shared" si="6"/>
        <v>商业繁华度</v>
      </c>
      <c r="R15" s="773" t="s">
        <v>17</v>
      </c>
      <c r="S15" s="774">
        <f t="shared" si="0"/>
        <v>100</v>
      </c>
      <c r="T15" s="773" t="s">
        <v>17</v>
      </c>
      <c r="U15" s="774">
        <f t="shared" si="1"/>
        <v>100</v>
      </c>
      <c r="V15" s="773" t="s">
        <v>17</v>
      </c>
      <c r="W15" s="774">
        <f t="shared" si="2"/>
        <v>100</v>
      </c>
      <c r="X15" s="1815"/>
      <c r="Y15" s="3189"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7"/>
      <c r="Q16" s="1812"/>
      <c r="R16" s="773"/>
      <c r="S16" s="774"/>
      <c r="T16" s="773"/>
      <c r="U16" s="774"/>
      <c r="V16" s="773"/>
      <c r="W16" s="774"/>
      <c r="X16" s="1815"/>
      <c r="Y16" s="3190"/>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7"/>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197"/>
      <c r="Q18" s="1812"/>
      <c r="R18" s="773"/>
      <c r="S18" s="774"/>
      <c r="T18" s="773"/>
      <c r="U18" s="774"/>
      <c r="V18" s="773"/>
      <c r="W18" s="774"/>
      <c r="X18" s="1815"/>
      <c r="Y18" s="3190"/>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7"/>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197"/>
      <c r="Q20" s="1812"/>
      <c r="R20" s="773"/>
      <c r="S20" s="774"/>
      <c r="T20" s="773"/>
      <c r="U20" s="774"/>
      <c r="V20" s="773"/>
      <c r="W20" s="774"/>
      <c r="X20" s="1815"/>
      <c r="Y20" s="3190"/>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197"/>
      <c r="Q22" s="1812"/>
      <c r="R22" s="773"/>
      <c r="S22" s="774"/>
      <c r="T22" s="773"/>
      <c r="U22" s="774"/>
      <c r="V22" s="773"/>
      <c r="W22" s="774"/>
      <c r="X22" s="1815"/>
      <c r="Y22" s="3190"/>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7"/>
      <c r="Q23" s="1812" t="str">
        <f>B23</f>
        <v>自然及人文环境</v>
      </c>
      <c r="R23" s="773" t="s">
        <v>17</v>
      </c>
      <c r="S23" s="774">
        <f>F23</f>
        <v>100</v>
      </c>
      <c r="T23" s="773" t="s">
        <v>17</v>
      </c>
      <c r="U23" s="774">
        <f>H23</f>
        <v>100</v>
      </c>
      <c r="V23" s="773" t="s">
        <v>17</v>
      </c>
      <c r="W23" s="774">
        <f>J23</f>
        <v>100</v>
      </c>
      <c r="X23" s="1815"/>
      <c r="Y23" s="3190"/>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197"/>
      <c r="Q24" s="1812"/>
      <c r="R24" s="773"/>
      <c r="S24" s="774"/>
      <c r="T24" s="773"/>
      <c r="U24" s="774"/>
      <c r="V24" s="773"/>
      <c r="W24" s="774"/>
      <c r="X24" s="1815"/>
      <c r="Y24" s="3190"/>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7"/>
      <c r="Q25" s="1812" t="str">
        <f t="shared" ref="Q25:Q46" si="11">B25</f>
        <v>临街状况</v>
      </c>
      <c r="R25" s="773" t="s">
        <v>17</v>
      </c>
      <c r="S25" s="774">
        <f>F25</f>
        <v>100</v>
      </c>
      <c r="T25" s="773" t="s">
        <v>17</v>
      </c>
      <c r="U25" s="774">
        <f>H25</f>
        <v>100</v>
      </c>
      <c r="V25" s="773" t="s">
        <v>17</v>
      </c>
      <c r="W25" s="774">
        <f>J25</f>
        <v>100</v>
      </c>
      <c r="X25" s="1815"/>
      <c r="Y25" s="3190"/>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7"/>
      <c r="Q26" s="1812" t="str">
        <f t="shared" si="11"/>
        <v>平面位置/可视性</v>
      </c>
      <c r="R26" s="773" t="s">
        <v>17</v>
      </c>
      <c r="S26" s="774">
        <f>F26</f>
        <v>100</v>
      </c>
      <c r="T26" s="773" t="s">
        <v>17</v>
      </c>
      <c r="U26" s="774">
        <f>H26</f>
        <v>100</v>
      </c>
      <c r="V26" s="773" t="s">
        <v>17</v>
      </c>
      <c r="W26" s="774">
        <f>J26</f>
        <v>100</v>
      </c>
      <c r="X26" s="1815"/>
      <c r="Y26" s="3190"/>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197"/>
      <c r="Q27" s="1797" t="str">
        <f t="shared" si="11"/>
        <v>人流量</v>
      </c>
      <c r="R27" s="769" t="s">
        <v>17</v>
      </c>
      <c r="S27" s="770">
        <f>F27</f>
        <v>100</v>
      </c>
      <c r="T27" s="769" t="s">
        <v>17</v>
      </c>
      <c r="U27" s="770">
        <f>H27</f>
        <v>100</v>
      </c>
      <c r="V27" s="769" t="s">
        <v>17</v>
      </c>
      <c r="W27" s="770">
        <f>J27</f>
        <v>100</v>
      </c>
      <c r="X27" s="771"/>
      <c r="Y27" s="3190"/>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7"/>
      <c r="Q29" s="1812">
        <f t="shared" si="11"/>
        <v>111</v>
      </c>
      <c r="R29" s="773" t="s">
        <v>17</v>
      </c>
      <c r="S29" s="774">
        <f t="shared" si="12"/>
        <v>100</v>
      </c>
      <c r="T29" s="773" t="s">
        <v>17</v>
      </c>
      <c r="U29" s="774">
        <f t="shared" si="13"/>
        <v>100</v>
      </c>
      <c r="V29" s="773" t="s">
        <v>17</v>
      </c>
      <c r="W29" s="774">
        <f t="shared" si="14"/>
        <v>100</v>
      </c>
      <c r="X29" s="1815"/>
      <c r="Y29" s="319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7"/>
      <c r="Q30" s="1812">
        <f t="shared" si="11"/>
        <v>111</v>
      </c>
      <c r="R30" s="773" t="s">
        <v>17</v>
      </c>
      <c r="S30" s="774">
        <f t="shared" si="12"/>
        <v>100</v>
      </c>
      <c r="T30" s="773" t="s">
        <v>17</v>
      </c>
      <c r="U30" s="774">
        <f t="shared" si="13"/>
        <v>100</v>
      </c>
      <c r="V30" s="773" t="s">
        <v>17</v>
      </c>
      <c r="W30" s="774">
        <f t="shared" si="14"/>
        <v>100</v>
      </c>
      <c r="X30" s="1815"/>
      <c r="Y30" s="319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7"/>
      <c r="Q31" s="1812">
        <f t="shared" si="11"/>
        <v>111</v>
      </c>
      <c r="R31" s="773" t="s">
        <v>17</v>
      </c>
      <c r="S31" s="774">
        <f t="shared" si="12"/>
        <v>100</v>
      </c>
      <c r="T31" s="773" t="s">
        <v>17</v>
      </c>
      <c r="U31" s="774">
        <f t="shared" si="13"/>
        <v>100</v>
      </c>
      <c r="V31" s="773" t="s">
        <v>17</v>
      </c>
      <c r="W31" s="774">
        <f t="shared" si="14"/>
        <v>100</v>
      </c>
      <c r="X31" s="1815"/>
      <c r="Y31" s="3190"/>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191" t="s">
        <v>2566</v>
      </c>
      <c r="Q32" s="1812" t="str">
        <f t="shared" si="11"/>
        <v>商业类型</v>
      </c>
      <c r="R32" s="773" t="s">
        <v>17</v>
      </c>
      <c r="S32" s="774">
        <f t="shared" si="12"/>
        <v>100</v>
      </c>
      <c r="T32" s="773" t="s">
        <v>17</v>
      </c>
      <c r="U32" s="774">
        <f t="shared" si="13"/>
        <v>100</v>
      </c>
      <c r="V32" s="773" t="s">
        <v>17</v>
      </c>
      <c r="W32" s="774">
        <f t="shared" si="14"/>
        <v>100</v>
      </c>
      <c r="X32" s="1815"/>
      <c r="Y32" s="3194"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92"/>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192"/>
      <c r="Q34" s="1812" t="str">
        <f t="shared" si="11"/>
        <v>建筑结构</v>
      </c>
      <c r="R34" s="773" t="s">
        <v>17</v>
      </c>
      <c r="S34" s="774">
        <f t="shared" si="12"/>
        <v>100</v>
      </c>
      <c r="T34" s="773" t="s">
        <v>17</v>
      </c>
      <c r="U34" s="774">
        <f t="shared" si="13"/>
        <v>100</v>
      </c>
      <c r="V34" s="773" t="s">
        <v>17</v>
      </c>
      <c r="W34" s="774">
        <f t="shared" si="14"/>
        <v>100</v>
      </c>
      <c r="X34" s="1815"/>
      <c r="Y34" s="3194"/>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192"/>
      <c r="Q35" s="1812" t="str">
        <f t="shared" si="11"/>
        <v>公共部分装修</v>
      </c>
      <c r="R35" s="773" t="s">
        <v>17</v>
      </c>
      <c r="S35" s="774">
        <f t="shared" si="12"/>
        <v>100</v>
      </c>
      <c r="T35" s="773" t="s">
        <v>17</v>
      </c>
      <c r="U35" s="774">
        <f t="shared" si="13"/>
        <v>100</v>
      </c>
      <c r="V35" s="773" t="s">
        <v>17</v>
      </c>
      <c r="W35" s="774">
        <f t="shared" si="14"/>
        <v>100</v>
      </c>
      <c r="X35" s="1815"/>
      <c r="Y35" s="3194"/>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2"/>
      <c r="Q36" s="1812" t="str">
        <f t="shared" si="11"/>
        <v>成新度</v>
      </c>
      <c r="R36" s="773" t="s">
        <v>17</v>
      </c>
      <c r="S36" s="774" t="e">
        <f t="shared" si="12"/>
        <v>#N/A</v>
      </c>
      <c r="T36" s="773" t="s">
        <v>17</v>
      </c>
      <c r="U36" s="774" t="e">
        <f t="shared" si="13"/>
        <v>#N/A</v>
      </c>
      <c r="V36" s="773" t="s">
        <v>17</v>
      </c>
      <c r="W36" s="774" t="e">
        <f t="shared" si="14"/>
        <v>#N/A</v>
      </c>
      <c r="X36" s="1815"/>
      <c r="Y36" s="3194"/>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192"/>
      <c r="Q37" s="1797" t="str">
        <f t="shared" si="11"/>
        <v>市政基础设施</v>
      </c>
      <c r="R37" s="769" t="s">
        <v>17</v>
      </c>
      <c r="S37" s="770">
        <f t="shared" si="12"/>
        <v>100</v>
      </c>
      <c r="T37" s="769" t="s">
        <v>17</v>
      </c>
      <c r="U37" s="770">
        <f t="shared" si="13"/>
        <v>100</v>
      </c>
      <c r="V37" s="769" t="s">
        <v>17</v>
      </c>
      <c r="W37" s="770">
        <f t="shared" si="14"/>
        <v>100</v>
      </c>
      <c r="X37" s="771"/>
      <c r="Y37" s="3194"/>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192" t="s">
        <v>2566</v>
      </c>
      <c r="Q38" s="1812" t="str">
        <f t="shared" si="11"/>
        <v>业态</v>
      </c>
      <c r="R38" s="773" t="s">
        <v>17</v>
      </c>
      <c r="S38" s="774">
        <f t="shared" si="12"/>
        <v>100</v>
      </c>
      <c r="T38" s="773" t="s">
        <v>17</v>
      </c>
      <c r="U38" s="774">
        <f t="shared" si="13"/>
        <v>100</v>
      </c>
      <c r="V38" s="773" t="s">
        <v>17</v>
      </c>
      <c r="W38" s="774">
        <f t="shared" si="14"/>
        <v>100</v>
      </c>
      <c r="X38" s="1815"/>
      <c r="Y38" s="3194"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192"/>
      <c r="Q39" s="1812" t="str">
        <f t="shared" si="11"/>
        <v>层高</v>
      </c>
      <c r="R39" s="773" t="s">
        <v>17</v>
      </c>
      <c r="S39" s="774">
        <f t="shared" si="12"/>
        <v>100</v>
      </c>
      <c r="T39" s="773" t="s">
        <v>17</v>
      </c>
      <c r="U39" s="774">
        <f t="shared" si="13"/>
        <v>100</v>
      </c>
      <c r="V39" s="773" t="s">
        <v>17</v>
      </c>
      <c r="W39" s="774">
        <f t="shared" si="14"/>
        <v>100</v>
      </c>
      <c r="X39" s="1815"/>
      <c r="Y39" s="3194"/>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2"/>
      <c r="Q40" s="1812" t="str">
        <f t="shared" si="11"/>
        <v>单套建筑面积</v>
      </c>
      <c r="R40" s="773" t="s">
        <v>17</v>
      </c>
      <c r="S40" s="774">
        <f t="shared" si="12"/>
        <v>100</v>
      </c>
      <c r="T40" s="773" t="s">
        <v>17</v>
      </c>
      <c r="U40" s="774">
        <f t="shared" si="13"/>
        <v>100</v>
      </c>
      <c r="V40" s="773" t="s">
        <v>17</v>
      </c>
      <c r="W40" s="774">
        <f t="shared" si="14"/>
        <v>100</v>
      </c>
      <c r="X40" s="1815"/>
      <c r="Y40" s="3194"/>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192"/>
      <c r="Q42" s="1812" t="str">
        <f t="shared" si="11"/>
        <v>内部装修</v>
      </c>
      <c r="R42" s="773" t="s">
        <v>17</v>
      </c>
      <c r="S42" s="774">
        <f t="shared" si="12"/>
        <v>100</v>
      </c>
      <c r="T42" s="773" t="s">
        <v>17</v>
      </c>
      <c r="U42" s="774">
        <f t="shared" si="13"/>
        <v>100</v>
      </c>
      <c r="V42" s="773" t="s">
        <v>17</v>
      </c>
      <c r="W42" s="774">
        <f t="shared" si="14"/>
        <v>100</v>
      </c>
      <c r="X42" s="1815"/>
      <c r="Y42" s="3194"/>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192"/>
      <c r="Q43" s="1812" t="str">
        <f t="shared" si="11"/>
        <v>内部装修维护情况</v>
      </c>
      <c r="R43" s="773" t="s">
        <v>17</v>
      </c>
      <c r="S43" s="774">
        <f t="shared" si="12"/>
        <v>100</v>
      </c>
      <c r="T43" s="773" t="s">
        <v>17</v>
      </c>
      <c r="U43" s="774">
        <f t="shared" si="13"/>
        <v>100</v>
      </c>
      <c r="V43" s="773" t="s">
        <v>17</v>
      </c>
      <c r="W43" s="774">
        <f t="shared" si="14"/>
        <v>100</v>
      </c>
      <c r="X43" s="1815"/>
      <c r="Y43" s="3194"/>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92"/>
      <c r="Q44" s="1797">
        <f t="shared" si="11"/>
        <v>111</v>
      </c>
      <c r="R44" s="769" t="s">
        <v>17</v>
      </c>
      <c r="S44" s="770">
        <f t="shared" si="12"/>
        <v>100</v>
      </c>
      <c r="T44" s="769" t="s">
        <v>17</v>
      </c>
      <c r="U44" s="770">
        <f t="shared" si="13"/>
        <v>100</v>
      </c>
      <c r="V44" s="769" t="s">
        <v>17</v>
      </c>
      <c r="W44" s="770">
        <f t="shared" si="14"/>
        <v>100</v>
      </c>
      <c r="X44" s="771"/>
      <c r="Y44" s="319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2"/>
      <c r="Q45" s="1812">
        <f t="shared" si="11"/>
        <v>111</v>
      </c>
      <c r="R45" s="773" t="s">
        <v>17</v>
      </c>
      <c r="S45" s="774">
        <f t="shared" si="12"/>
        <v>100</v>
      </c>
      <c r="T45" s="773" t="s">
        <v>17</v>
      </c>
      <c r="U45" s="774">
        <f t="shared" si="13"/>
        <v>100</v>
      </c>
      <c r="V45" s="773" t="s">
        <v>17</v>
      </c>
      <c r="W45" s="774">
        <f t="shared" si="14"/>
        <v>100</v>
      </c>
      <c r="X45" s="1815"/>
      <c r="Y45" s="3194"/>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3"/>
      <c r="Q46" s="1812">
        <f t="shared" si="11"/>
        <v>111</v>
      </c>
      <c r="R46" s="773" t="s">
        <v>17</v>
      </c>
      <c r="S46" s="774">
        <f t="shared" si="12"/>
        <v>100</v>
      </c>
      <c r="T46" s="773" t="s">
        <v>17</v>
      </c>
      <c r="U46" s="774">
        <f t="shared" si="13"/>
        <v>100</v>
      </c>
      <c r="V46" s="773" t="s">
        <v>17</v>
      </c>
      <c r="W46" s="774">
        <f t="shared" si="14"/>
        <v>100</v>
      </c>
      <c r="X46" s="1815"/>
      <c r="Y46" s="3195"/>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87" t="str">
        <f>A47</f>
        <v>成交单价（元/平方米）</v>
      </c>
      <c r="Q47" s="3187"/>
      <c r="R47" s="3218">
        <f>E47</f>
        <v>0</v>
      </c>
      <c r="S47" s="3218"/>
      <c r="T47" s="3218">
        <f>G47</f>
        <v>0</v>
      </c>
      <c r="U47" s="3218"/>
      <c r="V47" s="3218">
        <f>I47</f>
        <v>0</v>
      </c>
      <c r="W47" s="3218"/>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3846.04</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36" t="s">
        <v>2652</v>
      </c>
      <c r="Q4" s="3237"/>
      <c r="R4" s="3240" t="s">
        <v>2648</v>
      </c>
      <c r="S4" s="3241"/>
      <c r="T4" s="3240" t="s">
        <v>2649</v>
      </c>
      <c r="U4" s="3241"/>
      <c r="V4" s="3242" t="s">
        <v>2650</v>
      </c>
      <c r="W4" s="3242"/>
      <c r="X4" s="2670"/>
      <c r="Y4" s="3240" t="s">
        <v>2652</v>
      </c>
      <c r="Z4" s="3241"/>
      <c r="AA4" s="3244" t="s">
        <v>2648</v>
      </c>
      <c r="AB4" s="3244" t="s">
        <v>2649</v>
      </c>
      <c r="AC4" s="3233" t="s">
        <v>2650</v>
      </c>
    </row>
    <row r="5" spans="1:29" ht="15">
      <c r="A5" s="403"/>
      <c r="B5" s="404"/>
      <c r="C5" s="3221" t="s">
        <v>2543</v>
      </c>
      <c r="D5" s="3222"/>
      <c r="E5" s="3228" t="s">
        <v>2544</v>
      </c>
      <c r="F5" s="3229"/>
      <c r="G5" s="3221" t="s">
        <v>2545</v>
      </c>
      <c r="H5" s="3222"/>
      <c r="I5" s="3221" t="s">
        <v>2546</v>
      </c>
      <c r="J5" s="3222"/>
      <c r="K5" s="609"/>
      <c r="L5" s="1132"/>
      <c r="M5" s="1133"/>
      <c r="N5" s="1133"/>
      <c r="O5" s="1133"/>
      <c r="P5" s="3238"/>
      <c r="Q5" s="3209"/>
      <c r="R5" s="3214"/>
      <c r="S5" s="3215"/>
      <c r="T5" s="3214"/>
      <c r="U5" s="3215"/>
      <c r="V5" s="3218"/>
      <c r="W5" s="3218"/>
      <c r="X5" s="1815"/>
      <c r="Y5" s="3214"/>
      <c r="Z5" s="3215"/>
      <c r="AA5" s="3200"/>
      <c r="AB5" s="3200"/>
      <c r="AC5" s="3234"/>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39"/>
      <c r="Q6" s="3211"/>
      <c r="R6" s="3214"/>
      <c r="S6" s="3215"/>
      <c r="T6" s="3216"/>
      <c r="U6" s="3217"/>
      <c r="V6" s="3218"/>
      <c r="W6" s="3218"/>
      <c r="X6" s="1815"/>
      <c r="Y6" s="3216"/>
      <c r="Z6" s="3217"/>
      <c r="AA6" s="3201"/>
      <c r="AB6" s="3201"/>
      <c r="AC6" s="3235"/>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3" t="s">
        <v>2553</v>
      </c>
      <c r="Q8" s="3224"/>
      <c r="R8" s="769" t="s">
        <v>17</v>
      </c>
      <c r="S8" s="770">
        <f t="shared" si="0"/>
        <v>0</v>
      </c>
      <c r="T8" s="769" t="s">
        <v>17</v>
      </c>
      <c r="U8" s="770">
        <f t="shared" si="1"/>
        <v>0</v>
      </c>
      <c r="V8" s="769" t="s">
        <v>17</v>
      </c>
      <c r="W8" s="770">
        <f t="shared" si="2"/>
        <v>0</v>
      </c>
      <c r="X8" s="771"/>
      <c r="Y8" s="3223" t="s">
        <v>2553</v>
      </c>
      <c r="Z8" s="3224"/>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98"/>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6" t="s">
        <v>2561</v>
      </c>
      <c r="Q15" s="1812" t="str">
        <f t="shared" si="6"/>
        <v>办公集聚程度</v>
      </c>
      <c r="R15" s="773" t="s">
        <v>17</v>
      </c>
      <c r="S15" s="774">
        <f t="shared" si="0"/>
        <v>100</v>
      </c>
      <c r="T15" s="773" t="s">
        <v>17</v>
      </c>
      <c r="U15" s="774">
        <f t="shared" si="1"/>
        <v>100</v>
      </c>
      <c r="V15" s="773" t="s">
        <v>17</v>
      </c>
      <c r="W15" s="774">
        <f t="shared" si="2"/>
        <v>100</v>
      </c>
      <c r="X15" s="1815"/>
      <c r="Y15" s="3189"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197"/>
      <c r="Q16" s="1812"/>
      <c r="R16" s="773"/>
      <c r="S16" s="774"/>
      <c r="T16" s="773"/>
      <c r="U16" s="774"/>
      <c r="V16" s="773"/>
      <c r="W16" s="774"/>
      <c r="X16" s="1815"/>
      <c r="Y16" s="3190"/>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7"/>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197"/>
      <c r="Q18" s="1812"/>
      <c r="R18" s="773"/>
      <c r="S18" s="774"/>
      <c r="T18" s="773"/>
      <c r="U18" s="774"/>
      <c r="V18" s="773"/>
      <c r="W18" s="774"/>
      <c r="X18" s="1815"/>
      <c r="Y18" s="3190"/>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7"/>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197"/>
      <c r="Q20" s="1812"/>
      <c r="R20" s="773"/>
      <c r="S20" s="774"/>
      <c r="T20" s="773"/>
      <c r="U20" s="774"/>
      <c r="V20" s="773"/>
      <c r="W20" s="774"/>
      <c r="X20" s="1815"/>
      <c r="Y20" s="3190"/>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197"/>
      <c r="Q22" s="1812"/>
      <c r="R22" s="773"/>
      <c r="S22" s="774"/>
      <c r="T22" s="773"/>
      <c r="U22" s="774"/>
      <c r="V22" s="773"/>
      <c r="W22" s="774"/>
      <c r="X22" s="1815"/>
      <c r="Y22" s="3190"/>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7"/>
      <c r="Q23" s="1812" t="str">
        <f>B23</f>
        <v>环境质量</v>
      </c>
      <c r="R23" s="773" t="s">
        <v>17</v>
      </c>
      <c r="S23" s="774">
        <f>F23</f>
        <v>100</v>
      </c>
      <c r="T23" s="773" t="s">
        <v>17</v>
      </c>
      <c r="U23" s="774">
        <f>H23</f>
        <v>100</v>
      </c>
      <c r="V23" s="773" t="s">
        <v>17</v>
      </c>
      <c r="W23" s="774">
        <f>J23</f>
        <v>100</v>
      </c>
      <c r="X23" s="1815"/>
      <c r="Y23" s="3190"/>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197"/>
      <c r="Q24" s="1812"/>
      <c r="R24" s="773"/>
      <c r="S24" s="774"/>
      <c r="T24" s="773"/>
      <c r="U24" s="774"/>
      <c r="V24" s="773"/>
      <c r="W24" s="774"/>
      <c r="X24" s="1815"/>
      <c r="Y24" s="3190"/>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197"/>
      <c r="Q25" s="1812" t="str">
        <f>B25</f>
        <v>毗邻道路的类型与等级</v>
      </c>
      <c r="R25" s="773" t="s">
        <v>17</v>
      </c>
      <c r="S25" s="774">
        <f>F25</f>
        <v>100</v>
      </c>
      <c r="T25" s="773" t="s">
        <v>17</v>
      </c>
      <c r="U25" s="774">
        <f>H25</f>
        <v>100</v>
      </c>
      <c r="V25" s="773" t="s">
        <v>17</v>
      </c>
      <c r="W25" s="774">
        <f>J25</f>
        <v>100</v>
      </c>
      <c r="X25" s="1815"/>
      <c r="Y25" s="3190"/>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197"/>
      <c r="Q26" s="1812"/>
      <c r="R26" s="773"/>
      <c r="S26" s="774"/>
      <c r="T26" s="773"/>
      <c r="U26" s="774"/>
      <c r="V26" s="773"/>
      <c r="W26" s="774"/>
      <c r="X26" s="1815"/>
      <c r="Y26" s="3190"/>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7"/>
      <c r="Q27" s="1812" t="str">
        <f t="shared" ref="Q27:Q47" si="11">B27</f>
        <v>楼层</v>
      </c>
      <c r="R27" s="773" t="s">
        <v>17</v>
      </c>
      <c r="S27" s="774">
        <f>F27</f>
        <v>100</v>
      </c>
      <c r="T27" s="773" t="s">
        <v>17</v>
      </c>
      <c r="U27" s="774">
        <f>H27</f>
        <v>100</v>
      </c>
      <c r="V27" s="773" t="s">
        <v>17</v>
      </c>
      <c r="W27" s="774">
        <f>J27</f>
        <v>100</v>
      </c>
      <c r="X27" s="1815"/>
      <c r="Y27" s="3190"/>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197"/>
      <c r="Q28" s="1797" t="str">
        <f t="shared" si="11"/>
        <v>朝向</v>
      </c>
      <c r="R28" s="769" t="s">
        <v>17</v>
      </c>
      <c r="S28" s="770">
        <f>F28</f>
        <v>100</v>
      </c>
      <c r="T28" s="769" t="s">
        <v>17</v>
      </c>
      <c r="U28" s="770">
        <f>H28</f>
        <v>100</v>
      </c>
      <c r="V28" s="769" t="s">
        <v>17</v>
      </c>
      <c r="W28" s="770">
        <f>J28</f>
        <v>100</v>
      </c>
      <c r="X28" s="771"/>
      <c r="Y28" s="3190"/>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197"/>
      <c r="Q29" s="1812">
        <f t="shared" si="11"/>
        <v>111</v>
      </c>
      <c r="R29" s="773" t="s">
        <v>17</v>
      </c>
      <c r="S29" s="774">
        <f t="shared" ref="S29:S47" si="12">F29</f>
        <v>100</v>
      </c>
      <c r="T29" s="773" t="s">
        <v>17</v>
      </c>
      <c r="U29" s="774">
        <f t="shared" ref="U29:U47" si="13">H29</f>
        <v>100</v>
      </c>
      <c r="V29" s="773" t="s">
        <v>17</v>
      </c>
      <c r="W29" s="774">
        <f t="shared" ref="W29:W47" si="14">J29</f>
        <v>100</v>
      </c>
      <c r="X29" s="1815"/>
      <c r="Y29" s="3190"/>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197"/>
      <c r="Q30" s="1812">
        <f t="shared" si="11"/>
        <v>111</v>
      </c>
      <c r="R30" s="773" t="s">
        <v>17</v>
      </c>
      <c r="S30" s="774">
        <f t="shared" si="12"/>
        <v>100</v>
      </c>
      <c r="T30" s="773" t="s">
        <v>17</v>
      </c>
      <c r="U30" s="774">
        <f t="shared" si="13"/>
        <v>100</v>
      </c>
      <c r="V30" s="773" t="s">
        <v>17</v>
      </c>
      <c r="W30" s="774">
        <f t="shared" si="14"/>
        <v>100</v>
      </c>
      <c r="X30" s="1815"/>
      <c r="Y30" s="3190"/>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197"/>
      <c r="Q31" s="1812">
        <f t="shared" si="11"/>
        <v>111</v>
      </c>
      <c r="R31" s="773" t="s">
        <v>17</v>
      </c>
      <c r="S31" s="774">
        <f t="shared" si="12"/>
        <v>100</v>
      </c>
      <c r="T31" s="773" t="s">
        <v>17</v>
      </c>
      <c r="U31" s="774">
        <f t="shared" si="13"/>
        <v>100</v>
      </c>
      <c r="V31" s="773" t="s">
        <v>17</v>
      </c>
      <c r="W31" s="774">
        <f t="shared" si="14"/>
        <v>100</v>
      </c>
      <c r="X31" s="1815"/>
      <c r="Y31" s="3190"/>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197"/>
      <c r="Q32" s="1812">
        <f t="shared" si="11"/>
        <v>111</v>
      </c>
      <c r="R32" s="773" t="s">
        <v>17</v>
      </c>
      <c r="S32" s="774">
        <f t="shared" si="12"/>
        <v>100</v>
      </c>
      <c r="T32" s="773" t="s">
        <v>17</v>
      </c>
      <c r="U32" s="774">
        <f t="shared" si="13"/>
        <v>100</v>
      </c>
      <c r="V32" s="773" t="s">
        <v>17</v>
      </c>
      <c r="W32" s="774">
        <f t="shared" si="14"/>
        <v>100</v>
      </c>
      <c r="X32" s="1815"/>
      <c r="Y32" s="3190"/>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1" t="s">
        <v>2566</v>
      </c>
      <c r="Q33" s="1812" t="str">
        <f t="shared" si="11"/>
        <v>建筑类型</v>
      </c>
      <c r="R33" s="773" t="s">
        <v>17</v>
      </c>
      <c r="S33" s="774">
        <f t="shared" si="12"/>
        <v>100</v>
      </c>
      <c r="T33" s="773" t="s">
        <v>17</v>
      </c>
      <c r="U33" s="774">
        <f t="shared" si="13"/>
        <v>100</v>
      </c>
      <c r="V33" s="773" t="s">
        <v>17</v>
      </c>
      <c r="W33" s="774">
        <f t="shared" si="14"/>
        <v>100</v>
      </c>
      <c r="X33" s="1815"/>
      <c r="Y33" s="3194"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2"/>
      <c r="Q35" s="1812" t="str">
        <f t="shared" si="11"/>
        <v>建筑结构</v>
      </c>
      <c r="R35" s="773" t="s">
        <v>17</v>
      </c>
      <c r="S35" s="774">
        <f t="shared" si="12"/>
        <v>100</v>
      </c>
      <c r="T35" s="773" t="s">
        <v>17</v>
      </c>
      <c r="U35" s="774">
        <f t="shared" si="13"/>
        <v>100</v>
      </c>
      <c r="V35" s="773" t="s">
        <v>17</v>
      </c>
      <c r="W35" s="774">
        <f t="shared" si="14"/>
        <v>100</v>
      </c>
      <c r="X35" s="1815"/>
      <c r="Y35" s="3194"/>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2"/>
      <c r="Q36" s="1812" t="str">
        <f t="shared" si="11"/>
        <v>公共部分装修</v>
      </c>
      <c r="R36" s="773" t="s">
        <v>17</v>
      </c>
      <c r="S36" s="774">
        <f t="shared" si="12"/>
        <v>100</v>
      </c>
      <c r="T36" s="773" t="s">
        <v>17</v>
      </c>
      <c r="U36" s="774">
        <f t="shared" si="13"/>
        <v>100</v>
      </c>
      <c r="V36" s="773" t="s">
        <v>17</v>
      </c>
      <c r="W36" s="774">
        <f t="shared" si="14"/>
        <v>100</v>
      </c>
      <c r="X36" s="1815"/>
      <c r="Y36" s="3194"/>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2"/>
      <c r="Q37" s="1812" t="str">
        <f t="shared" si="11"/>
        <v>成新度</v>
      </c>
      <c r="R37" s="773" t="s">
        <v>17</v>
      </c>
      <c r="S37" s="774" t="e">
        <f t="shared" si="12"/>
        <v>#N/A</v>
      </c>
      <c r="T37" s="773" t="s">
        <v>17</v>
      </c>
      <c r="U37" s="774" t="e">
        <f t="shared" si="13"/>
        <v>#N/A</v>
      </c>
      <c r="V37" s="773" t="s">
        <v>17</v>
      </c>
      <c r="W37" s="774" t="e">
        <f t="shared" si="14"/>
        <v>#N/A</v>
      </c>
      <c r="X37" s="1815"/>
      <c r="Y37" s="3194"/>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2"/>
      <c r="Q38" s="1797" t="str">
        <f t="shared" si="11"/>
        <v>写字楼等级</v>
      </c>
      <c r="R38" s="769" t="s">
        <v>17</v>
      </c>
      <c r="S38" s="770">
        <f t="shared" si="12"/>
        <v>100</v>
      </c>
      <c r="T38" s="769" t="s">
        <v>17</v>
      </c>
      <c r="U38" s="770">
        <f t="shared" si="13"/>
        <v>100</v>
      </c>
      <c r="V38" s="769" t="s">
        <v>17</v>
      </c>
      <c r="W38" s="770">
        <f t="shared" si="14"/>
        <v>100</v>
      </c>
      <c r="X38" s="771"/>
      <c r="Y38" s="3194"/>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2" t="s">
        <v>2566</v>
      </c>
      <c r="Q39" s="1812" t="str">
        <f t="shared" si="11"/>
        <v>物业管理</v>
      </c>
      <c r="R39" s="773" t="s">
        <v>17</v>
      </c>
      <c r="S39" s="774">
        <f t="shared" si="12"/>
        <v>100</v>
      </c>
      <c r="T39" s="773" t="s">
        <v>17</v>
      </c>
      <c r="U39" s="774">
        <f t="shared" si="13"/>
        <v>100</v>
      </c>
      <c r="V39" s="773" t="s">
        <v>17</v>
      </c>
      <c r="W39" s="774">
        <f t="shared" si="14"/>
        <v>100</v>
      </c>
      <c r="X39" s="1815"/>
      <c r="Y39" s="3194"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2"/>
      <c r="Q40" s="1812" t="str">
        <f t="shared" si="11"/>
        <v>市政基础设施</v>
      </c>
      <c r="R40" s="773" t="s">
        <v>17</v>
      </c>
      <c r="S40" s="774">
        <f t="shared" si="12"/>
        <v>100</v>
      </c>
      <c r="T40" s="773" t="s">
        <v>17</v>
      </c>
      <c r="U40" s="774">
        <f t="shared" si="13"/>
        <v>100</v>
      </c>
      <c r="V40" s="773" t="s">
        <v>17</v>
      </c>
      <c r="W40" s="774">
        <f t="shared" si="14"/>
        <v>100</v>
      </c>
      <c r="X40" s="1815"/>
      <c r="Y40" s="3194"/>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2"/>
      <c r="Q41" s="1812" t="str">
        <f t="shared" si="11"/>
        <v>层高</v>
      </c>
      <c r="R41" s="773" t="s">
        <v>17</v>
      </c>
      <c r="S41" s="774">
        <f t="shared" si="12"/>
        <v>100</v>
      </c>
      <c r="T41" s="773" t="s">
        <v>17</v>
      </c>
      <c r="U41" s="774">
        <f t="shared" si="13"/>
        <v>100</v>
      </c>
      <c r="V41" s="773" t="s">
        <v>17</v>
      </c>
      <c r="W41" s="774">
        <f t="shared" si="14"/>
        <v>100</v>
      </c>
      <c r="X41" s="1815"/>
      <c r="Y41" s="3194"/>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2"/>
      <c r="Q43" s="1812" t="str">
        <f t="shared" si="11"/>
        <v>内部装修</v>
      </c>
      <c r="R43" s="773" t="s">
        <v>17</v>
      </c>
      <c r="S43" s="774">
        <f t="shared" si="12"/>
        <v>100</v>
      </c>
      <c r="T43" s="773" t="s">
        <v>17</v>
      </c>
      <c r="U43" s="774">
        <f t="shared" si="13"/>
        <v>100</v>
      </c>
      <c r="V43" s="773" t="s">
        <v>17</v>
      </c>
      <c r="W43" s="774">
        <f t="shared" si="14"/>
        <v>100</v>
      </c>
      <c r="X43" s="1815"/>
      <c r="Y43" s="3194"/>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192"/>
      <c r="Q44" s="1812" t="str">
        <f t="shared" si="11"/>
        <v>内部装修维护情况</v>
      </c>
      <c r="R44" s="773" t="s">
        <v>17</v>
      </c>
      <c r="S44" s="774">
        <f t="shared" si="12"/>
        <v>100</v>
      </c>
      <c r="T44" s="773" t="s">
        <v>17</v>
      </c>
      <c r="U44" s="774">
        <f t="shared" si="13"/>
        <v>100</v>
      </c>
      <c r="V44" s="773" t="s">
        <v>17</v>
      </c>
      <c r="W44" s="774">
        <f t="shared" si="14"/>
        <v>100</v>
      </c>
      <c r="X44" s="1815"/>
      <c r="Y44" s="3194"/>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92"/>
      <c r="Q45" s="1797">
        <f t="shared" si="11"/>
        <v>111</v>
      </c>
      <c r="R45" s="769" t="s">
        <v>17</v>
      </c>
      <c r="S45" s="770">
        <f t="shared" si="12"/>
        <v>100</v>
      </c>
      <c r="T45" s="769" t="s">
        <v>17</v>
      </c>
      <c r="U45" s="770">
        <f t="shared" si="13"/>
        <v>100</v>
      </c>
      <c r="V45" s="769" t="s">
        <v>17</v>
      </c>
      <c r="W45" s="770">
        <f t="shared" si="14"/>
        <v>100</v>
      </c>
      <c r="X45" s="771"/>
      <c r="Y45" s="3194"/>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2"/>
      <c r="Q46" s="1812">
        <f t="shared" si="11"/>
        <v>111</v>
      </c>
      <c r="R46" s="773" t="s">
        <v>17</v>
      </c>
      <c r="S46" s="774">
        <f t="shared" si="12"/>
        <v>100</v>
      </c>
      <c r="T46" s="773" t="s">
        <v>17</v>
      </c>
      <c r="U46" s="774">
        <f t="shared" si="13"/>
        <v>100</v>
      </c>
      <c r="V46" s="773" t="s">
        <v>17</v>
      </c>
      <c r="W46" s="774">
        <f t="shared" si="14"/>
        <v>100</v>
      </c>
      <c r="X46" s="1815"/>
      <c r="Y46" s="3194"/>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3"/>
      <c r="Q47" s="1812">
        <f t="shared" si="11"/>
        <v>111</v>
      </c>
      <c r="R47" s="773" t="s">
        <v>17</v>
      </c>
      <c r="S47" s="774">
        <f t="shared" si="12"/>
        <v>100</v>
      </c>
      <c r="T47" s="773" t="s">
        <v>17</v>
      </c>
      <c r="U47" s="774">
        <f t="shared" si="13"/>
        <v>100</v>
      </c>
      <c r="V47" s="773" t="s">
        <v>17</v>
      </c>
      <c r="W47" s="774">
        <f t="shared" si="14"/>
        <v>100</v>
      </c>
      <c r="X47" s="1815"/>
      <c r="Y47" s="3195"/>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30" t="str">
        <f>A50</f>
        <v>估价对象XX用房的比较价值（楼面单价，元/平方米）</v>
      </c>
      <c r="Q50" s="3231"/>
      <c r="R50" s="3232" t="e">
        <f>IF(F1="售价",ROUND(AVERAGE(R49:V49),0),ROUND(AVERAGE(R49:V49),1))</f>
        <v>#DIV/0!</v>
      </c>
      <c r="S50" s="3232"/>
      <c r="T50" s="3232"/>
      <c r="U50" s="3232"/>
      <c r="V50" s="3232"/>
      <c r="W50" s="3232"/>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3846.04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9" t="s">
        <v>2561</v>
      </c>
      <c r="Q15" s="1812" t="str">
        <f t="shared" si="6"/>
        <v>产业集聚程度</v>
      </c>
      <c r="R15" s="773" t="s">
        <v>17</v>
      </c>
      <c r="S15" s="774">
        <f t="shared" si="0"/>
        <v>100</v>
      </c>
      <c r="T15" s="773" t="s">
        <v>17</v>
      </c>
      <c r="U15" s="774">
        <f t="shared" si="1"/>
        <v>100</v>
      </c>
      <c r="V15" s="773" t="s">
        <v>17</v>
      </c>
      <c r="W15" s="774">
        <f t="shared" si="2"/>
        <v>100</v>
      </c>
      <c r="X15" s="1815"/>
      <c r="Y15" s="3189"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0"/>
      <c r="Q16" s="1812"/>
      <c r="R16" s="773"/>
      <c r="S16" s="774"/>
      <c r="T16" s="773"/>
      <c r="U16" s="774"/>
      <c r="V16" s="773"/>
      <c r="W16" s="774"/>
      <c r="X16" s="1815"/>
      <c r="Y16" s="3190"/>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0"/>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90"/>
      <c r="Q18" s="1812"/>
      <c r="R18" s="773"/>
      <c r="S18" s="774"/>
      <c r="T18" s="773"/>
      <c r="U18" s="774"/>
      <c r="V18" s="773"/>
      <c r="W18" s="774"/>
      <c r="X18" s="1815"/>
      <c r="Y18" s="3190"/>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0"/>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90"/>
      <c r="Q20" s="1812"/>
      <c r="R20" s="773"/>
      <c r="S20" s="774"/>
      <c r="T20" s="773"/>
      <c r="U20" s="774"/>
      <c r="V20" s="773"/>
      <c r="W20" s="774"/>
      <c r="X20" s="1815"/>
      <c r="Y20" s="3190"/>
      <c r="Z20" s="1816"/>
      <c r="AA20" s="1813">
        <v>1</v>
      </c>
      <c r="AB20" s="1813">
        <v>1</v>
      </c>
      <c r="AC20" s="1813">
        <v>1</v>
      </c>
    </row>
    <row r="21" spans="1:29" ht="42.75">
      <c r="A21" s="427"/>
      <c r="B21" s="1386" t="s">
        <v>2690</v>
      </c>
      <c r="C21" s="2607"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0"/>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90"/>
      <c r="Q22" s="1812"/>
      <c r="R22" s="773"/>
      <c r="S22" s="774"/>
      <c r="T22" s="773"/>
      <c r="U22" s="774"/>
      <c r="V22" s="773"/>
      <c r="W22" s="774"/>
      <c r="X22" s="1815"/>
      <c r="Y22" s="3190"/>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0"/>
      <c r="Q23" s="1812" t="str">
        <f>B23</f>
        <v>环境质量</v>
      </c>
      <c r="R23" s="773" t="s">
        <v>17</v>
      </c>
      <c r="S23" s="774">
        <f>F23</f>
        <v>100</v>
      </c>
      <c r="T23" s="773" t="s">
        <v>17</v>
      </c>
      <c r="U23" s="774">
        <f>H23</f>
        <v>100</v>
      </c>
      <c r="V23" s="773" t="s">
        <v>17</v>
      </c>
      <c r="W23" s="774">
        <f>J23</f>
        <v>100</v>
      </c>
      <c r="X23" s="1815"/>
      <c r="Y23" s="3190"/>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90"/>
      <c r="Q24" s="1812"/>
      <c r="R24" s="773"/>
      <c r="S24" s="774"/>
      <c r="T24" s="773"/>
      <c r="U24" s="774"/>
      <c r="V24" s="773"/>
      <c r="W24" s="774"/>
      <c r="X24" s="1815"/>
      <c r="Y24" s="319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0"/>
      <c r="Q25" s="1812">
        <f>B25</f>
        <v>111</v>
      </c>
      <c r="R25" s="773" t="s">
        <v>17</v>
      </c>
      <c r="S25" s="774">
        <f>F25</f>
        <v>100</v>
      </c>
      <c r="T25" s="773" t="s">
        <v>17</v>
      </c>
      <c r="U25" s="774">
        <f>H25</f>
        <v>100</v>
      </c>
      <c r="V25" s="773" t="s">
        <v>17</v>
      </c>
      <c r="W25" s="774">
        <f>J25</f>
        <v>100</v>
      </c>
      <c r="X25" s="1815"/>
      <c r="Y25" s="319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0"/>
      <c r="Q26" s="1812">
        <f t="shared" ref="Q26:Q40" si="11">B26</f>
        <v>111</v>
      </c>
      <c r="R26" s="773" t="s">
        <v>17</v>
      </c>
      <c r="S26" s="774">
        <f>F26</f>
        <v>100</v>
      </c>
      <c r="T26" s="773" t="s">
        <v>17</v>
      </c>
      <c r="U26" s="774">
        <f>H26</f>
        <v>100</v>
      </c>
      <c r="V26" s="773" t="s">
        <v>17</v>
      </c>
      <c r="W26" s="774">
        <f>J26</f>
        <v>100</v>
      </c>
      <c r="X26" s="1815"/>
      <c r="Y26" s="3190"/>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0"/>
      <c r="Q27" s="1797">
        <f t="shared" si="11"/>
        <v>111</v>
      </c>
      <c r="R27" s="769" t="s">
        <v>17</v>
      </c>
      <c r="S27" s="770">
        <f>F27</f>
        <v>100</v>
      </c>
      <c r="T27" s="769" t="s">
        <v>17</v>
      </c>
      <c r="U27" s="770">
        <f>H27</f>
        <v>100</v>
      </c>
      <c r="V27" s="769" t="s">
        <v>17</v>
      </c>
      <c r="W27" s="770">
        <f>J27</f>
        <v>100</v>
      </c>
      <c r="X27" s="771"/>
      <c r="Y27" s="319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0"/>
      <c r="Q28" s="1812">
        <f t="shared" si="11"/>
        <v>111</v>
      </c>
      <c r="R28" s="773" t="s">
        <v>17</v>
      </c>
      <c r="S28" s="774">
        <f t="shared" ref="S28:S40" si="12">F28</f>
        <v>100</v>
      </c>
      <c r="T28" s="773" t="s">
        <v>17</v>
      </c>
      <c r="U28" s="774">
        <f t="shared" ref="U28:U40" si="13">H28</f>
        <v>100</v>
      </c>
      <c r="V28" s="773" t="s">
        <v>17</v>
      </c>
      <c r="W28" s="774">
        <f t="shared" ref="W28:W40" si="14">J28</f>
        <v>100</v>
      </c>
      <c r="X28" s="1815"/>
      <c r="Y28" s="3190"/>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5" t="s">
        <v>2566</v>
      </c>
      <c r="Q29" s="1812" t="str">
        <f t="shared" si="11"/>
        <v>建筑类型</v>
      </c>
      <c r="R29" s="773" t="s">
        <v>17</v>
      </c>
      <c r="S29" s="774">
        <f t="shared" si="12"/>
        <v>100</v>
      </c>
      <c r="T29" s="773" t="s">
        <v>17</v>
      </c>
      <c r="U29" s="774">
        <f t="shared" si="13"/>
        <v>100</v>
      </c>
      <c r="V29" s="773" t="s">
        <v>17</v>
      </c>
      <c r="W29" s="774">
        <f t="shared" si="14"/>
        <v>100</v>
      </c>
      <c r="X29" s="1815"/>
      <c r="Y29" s="3194"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4"/>
      <c r="Q31" s="1812" t="str">
        <f t="shared" si="11"/>
        <v>建筑结构</v>
      </c>
      <c r="R31" s="773" t="s">
        <v>17</v>
      </c>
      <c r="S31" s="774">
        <f t="shared" si="12"/>
        <v>100</v>
      </c>
      <c r="T31" s="773" t="s">
        <v>17</v>
      </c>
      <c r="U31" s="774">
        <f t="shared" si="13"/>
        <v>100</v>
      </c>
      <c r="V31" s="773" t="s">
        <v>17</v>
      </c>
      <c r="W31" s="774">
        <f t="shared" si="14"/>
        <v>100</v>
      </c>
      <c r="X31" s="1815"/>
      <c r="Y31" s="3194"/>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4"/>
      <c r="Q32" s="1812" t="str">
        <f t="shared" si="11"/>
        <v>公共部分装修</v>
      </c>
      <c r="R32" s="773" t="s">
        <v>17</v>
      </c>
      <c r="S32" s="774">
        <f t="shared" si="12"/>
        <v>100</v>
      </c>
      <c r="T32" s="773" t="s">
        <v>17</v>
      </c>
      <c r="U32" s="774">
        <f t="shared" si="13"/>
        <v>100</v>
      </c>
      <c r="V32" s="773" t="s">
        <v>17</v>
      </c>
      <c r="W32" s="774">
        <f t="shared" si="14"/>
        <v>100</v>
      </c>
      <c r="X32" s="1815"/>
      <c r="Y32" s="3194"/>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4"/>
      <c r="Q33" s="1812" t="str">
        <f t="shared" si="11"/>
        <v>成新度</v>
      </c>
      <c r="R33" s="773" t="s">
        <v>17</v>
      </c>
      <c r="S33" s="774" t="e">
        <f t="shared" si="12"/>
        <v>#N/A</v>
      </c>
      <c r="T33" s="773" t="s">
        <v>17</v>
      </c>
      <c r="U33" s="774" t="e">
        <f t="shared" si="13"/>
        <v>#N/A</v>
      </c>
      <c r="V33" s="773" t="s">
        <v>17</v>
      </c>
      <c r="W33" s="774" t="e">
        <f t="shared" si="14"/>
        <v>#N/A</v>
      </c>
      <c r="X33" s="1815"/>
      <c r="Y33" s="3194"/>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4"/>
      <c r="Q34" s="1797" t="str">
        <f t="shared" si="11"/>
        <v>物业管理</v>
      </c>
      <c r="R34" s="769" t="s">
        <v>17</v>
      </c>
      <c r="S34" s="770">
        <f t="shared" si="12"/>
        <v>100</v>
      </c>
      <c r="T34" s="769" t="s">
        <v>17</v>
      </c>
      <c r="U34" s="770">
        <f t="shared" si="13"/>
        <v>100</v>
      </c>
      <c r="V34" s="769" t="s">
        <v>17</v>
      </c>
      <c r="W34" s="770">
        <f t="shared" si="14"/>
        <v>100</v>
      </c>
      <c r="X34" s="771"/>
      <c r="Y34" s="3194"/>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4" t="s">
        <v>2566</v>
      </c>
      <c r="Q35" s="1812" t="str">
        <f t="shared" si="11"/>
        <v>市政基础设施</v>
      </c>
      <c r="R35" s="773" t="s">
        <v>17</v>
      </c>
      <c r="S35" s="774">
        <f t="shared" si="12"/>
        <v>100</v>
      </c>
      <c r="T35" s="773" t="s">
        <v>17</v>
      </c>
      <c r="U35" s="774">
        <f t="shared" si="13"/>
        <v>100</v>
      </c>
      <c r="V35" s="773" t="s">
        <v>17</v>
      </c>
      <c r="W35" s="774">
        <f t="shared" si="14"/>
        <v>100</v>
      </c>
      <c r="X35" s="1815"/>
      <c r="Y35" s="3194"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4"/>
      <c r="Q36" s="1812" t="str">
        <f t="shared" si="11"/>
        <v>内部装修</v>
      </c>
      <c r="R36" s="773" t="s">
        <v>17</v>
      </c>
      <c r="S36" s="774">
        <f t="shared" si="12"/>
        <v>100</v>
      </c>
      <c r="T36" s="773" t="s">
        <v>17</v>
      </c>
      <c r="U36" s="774">
        <f t="shared" si="13"/>
        <v>100</v>
      </c>
      <c r="V36" s="773" t="s">
        <v>17</v>
      </c>
      <c r="W36" s="774">
        <f t="shared" si="14"/>
        <v>100</v>
      </c>
      <c r="X36" s="1815"/>
      <c r="Y36" s="3194"/>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4"/>
      <c r="Q37" s="1812" t="str">
        <f t="shared" si="11"/>
        <v>内部装修状况</v>
      </c>
      <c r="R37" s="773" t="s">
        <v>17</v>
      </c>
      <c r="S37" s="774">
        <f t="shared" si="12"/>
        <v>100</v>
      </c>
      <c r="T37" s="773" t="s">
        <v>17</v>
      </c>
      <c r="U37" s="774">
        <f t="shared" si="13"/>
        <v>100</v>
      </c>
      <c r="V37" s="773" t="s">
        <v>17</v>
      </c>
      <c r="W37" s="774">
        <f t="shared" si="14"/>
        <v>100</v>
      </c>
      <c r="X37" s="1815"/>
      <c r="Y37" s="319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4"/>
      <c r="Q39" s="1812">
        <f t="shared" si="11"/>
        <v>111</v>
      </c>
      <c r="R39" s="773" t="s">
        <v>17</v>
      </c>
      <c r="S39" s="774">
        <f t="shared" si="12"/>
        <v>100</v>
      </c>
      <c r="T39" s="773" t="s">
        <v>17</v>
      </c>
      <c r="U39" s="774">
        <f t="shared" si="13"/>
        <v>100</v>
      </c>
      <c r="V39" s="773" t="s">
        <v>17</v>
      </c>
      <c r="W39" s="774">
        <f t="shared" si="14"/>
        <v>100</v>
      </c>
      <c r="X39" s="1815"/>
      <c r="Y39" s="3194"/>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5"/>
      <c r="Q40" s="1812">
        <f t="shared" si="11"/>
        <v>111</v>
      </c>
      <c r="R40" s="773" t="s">
        <v>17</v>
      </c>
      <c r="S40" s="774">
        <f t="shared" si="12"/>
        <v>100</v>
      </c>
      <c r="T40" s="773" t="s">
        <v>17</v>
      </c>
      <c r="U40" s="774">
        <f t="shared" si="13"/>
        <v>100</v>
      </c>
      <c r="V40" s="773" t="s">
        <v>17</v>
      </c>
      <c r="W40" s="774">
        <f t="shared" si="14"/>
        <v>100</v>
      </c>
      <c r="X40" s="1815"/>
      <c r="Y40" s="3195"/>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1176.69平方米。根据《房屋所有权证》[X京房权证怀字第029593号、X京房权证怀字第032079号、X京房权证怀其字第000681号]，估价对象建筑面积为3846.04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1176.69平方米。根据《房屋所有权证》[X京房权证怀字第029593号、X京房权证怀字第032079号、X京房权证怀其字第000681号]，估价对象规划建筑面积为3846.04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3" t="s">
        <v>2550</v>
      </c>
      <c r="Q7" s="3225"/>
      <c r="R7" s="769" t="s">
        <v>17</v>
      </c>
      <c r="S7" s="770">
        <f t="shared" ref="S7:S14" si="0">F7</f>
        <v>0</v>
      </c>
      <c r="T7" s="769" t="s">
        <v>17</v>
      </c>
      <c r="U7" s="770">
        <f t="shared" ref="U7:U14" si="1">H7</f>
        <v>0</v>
      </c>
      <c r="V7" s="769" t="s">
        <v>17</v>
      </c>
      <c r="W7" s="770">
        <f t="shared" ref="W7:W14"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87" t="s">
        <v>2556</v>
      </c>
      <c r="Q9" s="1797"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87"/>
      <c r="Q11" s="1797">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9" t="s">
        <v>2561</v>
      </c>
      <c r="Q14" s="1812" t="str">
        <f t="shared" si="6"/>
        <v>交通便捷度</v>
      </c>
      <c r="R14" s="773" t="s">
        <v>17</v>
      </c>
      <c r="S14" s="774">
        <f t="shared" si="0"/>
        <v>100</v>
      </c>
      <c r="T14" s="773" t="s">
        <v>17</v>
      </c>
      <c r="U14" s="774">
        <f t="shared" si="1"/>
        <v>100</v>
      </c>
      <c r="V14" s="773" t="s">
        <v>17</v>
      </c>
      <c r="W14" s="774">
        <f t="shared" si="2"/>
        <v>100</v>
      </c>
      <c r="X14" s="1815"/>
      <c r="Y14" s="3189"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0"/>
      <c r="Q15" s="1812"/>
      <c r="R15" s="773"/>
      <c r="S15" s="774"/>
      <c r="T15" s="773"/>
      <c r="U15" s="774"/>
      <c r="V15" s="773"/>
      <c r="W15" s="774"/>
      <c r="X15" s="1815"/>
      <c r="Y15" s="3190"/>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0"/>
      <c r="Q16" s="1812" t="str">
        <f>B16</f>
        <v>公共配套设施</v>
      </c>
      <c r="R16" s="773" t="s">
        <v>17</v>
      </c>
      <c r="S16" s="774">
        <f>F16</f>
        <v>100</v>
      </c>
      <c r="T16" s="773" t="s">
        <v>17</v>
      </c>
      <c r="U16" s="774">
        <f>H16</f>
        <v>100</v>
      </c>
      <c r="V16" s="773" t="s">
        <v>17</v>
      </c>
      <c r="W16" s="774">
        <f>J16</f>
        <v>100</v>
      </c>
      <c r="X16" s="1815"/>
      <c r="Y16" s="3190"/>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90"/>
      <c r="Q17" s="1812"/>
      <c r="R17" s="773"/>
      <c r="S17" s="774"/>
      <c r="T17" s="773"/>
      <c r="U17" s="774"/>
      <c r="V17" s="773"/>
      <c r="W17" s="774"/>
      <c r="X17" s="1815"/>
      <c r="Y17" s="3190"/>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0"/>
      <c r="Q18" s="1812" t="str">
        <f>B18</f>
        <v>基础设施水平</v>
      </c>
      <c r="R18" s="773" t="s">
        <v>17</v>
      </c>
      <c r="S18" s="774">
        <f>F18</f>
        <v>100</v>
      </c>
      <c r="T18" s="773" t="s">
        <v>17</v>
      </c>
      <c r="U18" s="774">
        <f>H18</f>
        <v>100</v>
      </c>
      <c r="V18" s="773" t="s">
        <v>17</v>
      </c>
      <c r="W18" s="774">
        <f>J18</f>
        <v>100</v>
      </c>
      <c r="X18" s="1815"/>
      <c r="Y18" s="3190"/>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90"/>
      <c r="Q19" s="1812"/>
      <c r="R19" s="773"/>
      <c r="S19" s="774"/>
      <c r="T19" s="773"/>
      <c r="U19" s="774"/>
      <c r="V19" s="773"/>
      <c r="W19" s="774"/>
      <c r="X19" s="1815"/>
      <c r="Y19" s="3190"/>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0"/>
      <c r="Q20" s="1812" t="str">
        <f>B20</f>
        <v>自然及人文环境</v>
      </c>
      <c r="R20" s="773" t="s">
        <v>17</v>
      </c>
      <c r="S20" s="774">
        <f>F20</f>
        <v>100</v>
      </c>
      <c r="T20" s="773" t="s">
        <v>17</v>
      </c>
      <c r="U20" s="774">
        <f>H20</f>
        <v>100</v>
      </c>
      <c r="V20" s="773" t="s">
        <v>17</v>
      </c>
      <c r="W20" s="774">
        <f>J20</f>
        <v>100</v>
      </c>
      <c r="X20" s="1815"/>
      <c r="Y20" s="319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0"/>
      <c r="Q21" s="1812"/>
      <c r="R21" s="773"/>
      <c r="S21" s="774"/>
      <c r="T21" s="773"/>
      <c r="U21" s="774"/>
      <c r="V21" s="773"/>
      <c r="W21" s="774"/>
      <c r="X21" s="1815"/>
      <c r="Y21" s="3190"/>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0"/>
      <c r="Q22" s="1812" t="str">
        <f>B22</f>
        <v>楼层</v>
      </c>
      <c r="R22" s="773" t="s">
        <v>17</v>
      </c>
      <c r="S22" s="774">
        <f>F22</f>
        <v>100</v>
      </c>
      <c r="T22" s="773" t="s">
        <v>17</v>
      </c>
      <c r="U22" s="774">
        <f>H22</f>
        <v>100</v>
      </c>
      <c r="V22" s="773" t="s">
        <v>17</v>
      </c>
      <c r="W22" s="774">
        <f>J22</f>
        <v>100</v>
      </c>
      <c r="X22" s="1815"/>
      <c r="Y22" s="319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0"/>
      <c r="Q23" s="1812">
        <f>B23</f>
        <v>111</v>
      </c>
      <c r="R23" s="773" t="s">
        <v>17</v>
      </c>
      <c r="S23" s="774">
        <f>F23</f>
        <v>100</v>
      </c>
      <c r="T23" s="773" t="s">
        <v>17</v>
      </c>
      <c r="U23" s="774">
        <f>H23</f>
        <v>100</v>
      </c>
      <c r="V23" s="773" t="s">
        <v>17</v>
      </c>
      <c r="W23" s="774">
        <f>J23</f>
        <v>100</v>
      </c>
      <c r="X23" s="1815"/>
      <c r="Y23" s="319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0"/>
      <c r="Q24" s="1812">
        <f t="shared" ref="Q24:Q36" si="11">B24</f>
        <v>111</v>
      </c>
      <c r="R24" s="773" t="s">
        <v>17</v>
      </c>
      <c r="S24" s="774">
        <f>F24</f>
        <v>100</v>
      </c>
      <c r="T24" s="773" t="s">
        <v>17</v>
      </c>
      <c r="U24" s="774">
        <f>H24</f>
        <v>100</v>
      </c>
      <c r="V24" s="773" t="s">
        <v>17</v>
      </c>
      <c r="W24" s="774">
        <f>J24</f>
        <v>100</v>
      </c>
      <c r="X24" s="1815"/>
      <c r="Y24" s="3190"/>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0"/>
      <c r="Q25" s="1797">
        <f t="shared" si="11"/>
        <v>111</v>
      </c>
      <c r="R25" s="769" t="s">
        <v>17</v>
      </c>
      <c r="S25" s="770">
        <f>F25</f>
        <v>100</v>
      </c>
      <c r="T25" s="769" t="s">
        <v>17</v>
      </c>
      <c r="U25" s="770">
        <f>H25</f>
        <v>100</v>
      </c>
      <c r="V25" s="769" t="s">
        <v>17</v>
      </c>
      <c r="W25" s="770">
        <f>J25</f>
        <v>100</v>
      </c>
      <c r="X25" s="771"/>
      <c r="Y25" s="3190"/>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5"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4"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4"/>
      <c r="Q28" s="1812" t="str">
        <f t="shared" si="11"/>
        <v>公共部分装修</v>
      </c>
      <c r="R28" s="773" t="s">
        <v>17</v>
      </c>
      <c r="S28" s="774">
        <f t="shared" si="12"/>
        <v>100</v>
      </c>
      <c r="T28" s="773" t="s">
        <v>17</v>
      </c>
      <c r="U28" s="774">
        <f t="shared" si="13"/>
        <v>100</v>
      </c>
      <c r="V28" s="773" t="s">
        <v>17</v>
      </c>
      <c r="W28" s="774">
        <f t="shared" si="14"/>
        <v>100</v>
      </c>
      <c r="X28" s="1815"/>
      <c r="Y28" s="3194"/>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4"/>
      <c r="Q29" s="1812" t="str">
        <f t="shared" si="11"/>
        <v>成新率</v>
      </c>
      <c r="R29" s="773" t="s">
        <v>17</v>
      </c>
      <c r="S29" s="774" t="e">
        <f t="shared" si="12"/>
        <v>#N/A</v>
      </c>
      <c r="T29" s="773" t="s">
        <v>17</v>
      </c>
      <c r="U29" s="774" t="e">
        <f t="shared" si="13"/>
        <v>#N/A</v>
      </c>
      <c r="V29" s="773" t="s">
        <v>17</v>
      </c>
      <c r="W29" s="774" t="e">
        <f t="shared" si="14"/>
        <v>#N/A</v>
      </c>
      <c r="X29" s="1815"/>
      <c r="Y29" s="3194"/>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4"/>
      <c r="Q30" s="1812" t="str">
        <f t="shared" si="11"/>
        <v>物业等级</v>
      </c>
      <c r="R30" s="773" t="s">
        <v>17</v>
      </c>
      <c r="S30" s="774">
        <f t="shared" si="12"/>
        <v>100</v>
      </c>
      <c r="T30" s="773" t="s">
        <v>17</v>
      </c>
      <c r="U30" s="774">
        <f t="shared" si="13"/>
        <v>100</v>
      </c>
      <c r="V30" s="773" t="s">
        <v>17</v>
      </c>
      <c r="W30" s="774">
        <f t="shared" si="14"/>
        <v>100</v>
      </c>
      <c r="X30" s="1815"/>
      <c r="Y30" s="3194"/>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4"/>
      <c r="Q31" s="1797" t="str">
        <f t="shared" si="11"/>
        <v>停车位面积</v>
      </c>
      <c r="R31" s="769" t="s">
        <v>17</v>
      </c>
      <c r="S31" s="770" t="e">
        <f t="shared" si="12"/>
        <v>#N/A</v>
      </c>
      <c r="T31" s="769" t="s">
        <v>17</v>
      </c>
      <c r="U31" s="770" t="e">
        <f t="shared" si="13"/>
        <v>#N/A</v>
      </c>
      <c r="V31" s="769" t="s">
        <v>17</v>
      </c>
      <c r="W31" s="770" t="e">
        <f t="shared" si="14"/>
        <v>#N/A</v>
      </c>
      <c r="X31" s="771"/>
      <c r="Y31" s="3194"/>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4" t="s">
        <v>2566</v>
      </c>
      <c r="Q32" s="1812" t="str">
        <f t="shared" si="11"/>
        <v>车位类型</v>
      </c>
      <c r="R32" s="773" t="s">
        <v>17</v>
      </c>
      <c r="S32" s="774">
        <f t="shared" si="12"/>
        <v>100</v>
      </c>
      <c r="T32" s="773" t="s">
        <v>17</v>
      </c>
      <c r="U32" s="774">
        <f t="shared" si="13"/>
        <v>100</v>
      </c>
      <c r="V32" s="773" t="s">
        <v>17</v>
      </c>
      <c r="W32" s="774">
        <f t="shared" si="14"/>
        <v>100</v>
      </c>
      <c r="X32" s="1815"/>
      <c r="Y32" s="3194"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4"/>
      <c r="Q33" s="1812" t="str">
        <f t="shared" si="11"/>
        <v>是否直接入户</v>
      </c>
      <c r="R33" s="773" t="s">
        <v>17</v>
      </c>
      <c r="S33" s="774">
        <f t="shared" si="12"/>
        <v>100</v>
      </c>
      <c r="T33" s="773" t="s">
        <v>17</v>
      </c>
      <c r="U33" s="774">
        <f t="shared" si="13"/>
        <v>100</v>
      </c>
      <c r="V33" s="773" t="s">
        <v>17</v>
      </c>
      <c r="W33" s="774">
        <f t="shared" si="14"/>
        <v>100</v>
      </c>
      <c r="X33" s="1815"/>
      <c r="Y33" s="319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4"/>
      <c r="Q36" s="1812">
        <f t="shared" si="11"/>
        <v>111</v>
      </c>
      <c r="R36" s="773" t="s">
        <v>17</v>
      </c>
      <c r="S36" s="774">
        <f t="shared" si="12"/>
        <v>100</v>
      </c>
      <c r="T36" s="773" t="s">
        <v>17</v>
      </c>
      <c r="U36" s="774">
        <f t="shared" si="13"/>
        <v>100</v>
      </c>
      <c r="V36" s="773" t="s">
        <v>17</v>
      </c>
      <c r="W36" s="774">
        <f t="shared" si="14"/>
        <v>100</v>
      </c>
      <c r="X36" s="1815"/>
      <c r="Y36" s="3194"/>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87" t="str">
        <f>A37</f>
        <v>成交单价</v>
      </c>
      <c r="Q37" s="3187"/>
      <c r="R37" s="3188">
        <f>E37</f>
        <v>0</v>
      </c>
      <c r="S37" s="3188"/>
      <c r="T37" s="3188">
        <f>G37</f>
        <v>0</v>
      </c>
      <c r="U37" s="3188"/>
      <c r="V37" s="3188">
        <f>I37</f>
        <v>0</v>
      </c>
      <c r="W37" s="3188"/>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3" t="s">
        <v>2550</v>
      </c>
      <c r="Q7" s="3225"/>
      <c r="R7" s="769" t="s">
        <v>17</v>
      </c>
      <c r="S7" s="770">
        <f t="shared" ref="S7:S14" si="0">F7</f>
        <v>0</v>
      </c>
      <c r="T7" s="769" t="s">
        <v>17</v>
      </c>
      <c r="U7" s="770">
        <f t="shared" ref="U7:U14" si="1">H7</f>
        <v>0</v>
      </c>
      <c r="V7" s="769" t="s">
        <v>17</v>
      </c>
      <c r="W7" s="770">
        <f t="shared" ref="W7:W14"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87" t="s">
        <v>2556</v>
      </c>
      <c r="Q9" s="1797"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87"/>
      <c r="Q11" s="1797">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9" t="s">
        <v>2561</v>
      </c>
      <c r="Q14" s="1812" t="str">
        <f t="shared" si="6"/>
        <v>交通便捷度</v>
      </c>
      <c r="R14" s="773" t="s">
        <v>17</v>
      </c>
      <c r="S14" s="774">
        <f t="shared" si="0"/>
        <v>100</v>
      </c>
      <c r="T14" s="773" t="s">
        <v>17</v>
      </c>
      <c r="U14" s="774">
        <f t="shared" si="1"/>
        <v>100</v>
      </c>
      <c r="V14" s="773" t="s">
        <v>17</v>
      </c>
      <c r="W14" s="774">
        <f t="shared" si="2"/>
        <v>100</v>
      </c>
      <c r="X14" s="1815"/>
      <c r="Y14" s="3189"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0"/>
      <c r="Q15" s="1812"/>
      <c r="R15" s="773"/>
      <c r="S15" s="774"/>
      <c r="T15" s="773"/>
      <c r="U15" s="774"/>
      <c r="V15" s="773"/>
      <c r="W15" s="774"/>
      <c r="X15" s="1815"/>
      <c r="Y15" s="3190"/>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0"/>
      <c r="Q16" s="1812" t="str">
        <f>B16</f>
        <v>公共配套设施</v>
      </c>
      <c r="R16" s="773" t="s">
        <v>17</v>
      </c>
      <c r="S16" s="774">
        <f>F16</f>
        <v>100</v>
      </c>
      <c r="T16" s="773" t="s">
        <v>17</v>
      </c>
      <c r="U16" s="774">
        <f>H16</f>
        <v>100</v>
      </c>
      <c r="V16" s="773" t="s">
        <v>17</v>
      </c>
      <c r="W16" s="774">
        <f>J16</f>
        <v>100</v>
      </c>
      <c r="X16" s="1815"/>
      <c r="Y16" s="3190"/>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90"/>
      <c r="Q17" s="1812"/>
      <c r="R17" s="773"/>
      <c r="S17" s="774"/>
      <c r="T17" s="773"/>
      <c r="U17" s="774"/>
      <c r="V17" s="773"/>
      <c r="W17" s="774"/>
      <c r="X17" s="1815"/>
      <c r="Y17" s="3190"/>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0"/>
      <c r="Q18" s="1812" t="str">
        <f>B18</f>
        <v>基础设施水平</v>
      </c>
      <c r="R18" s="773" t="s">
        <v>17</v>
      </c>
      <c r="S18" s="774">
        <f>F18</f>
        <v>100</v>
      </c>
      <c r="T18" s="773" t="s">
        <v>17</v>
      </c>
      <c r="U18" s="774">
        <f>H18</f>
        <v>100</v>
      </c>
      <c r="V18" s="773" t="s">
        <v>17</v>
      </c>
      <c r="W18" s="774">
        <f>J18</f>
        <v>100</v>
      </c>
      <c r="X18" s="1815"/>
      <c r="Y18" s="3190"/>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90"/>
      <c r="Q19" s="1812"/>
      <c r="R19" s="773"/>
      <c r="S19" s="774"/>
      <c r="T19" s="773"/>
      <c r="U19" s="774"/>
      <c r="V19" s="773"/>
      <c r="W19" s="774"/>
      <c r="X19" s="1815"/>
      <c r="Y19" s="3190"/>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0"/>
      <c r="Q20" s="1812" t="str">
        <f>B20</f>
        <v>自然及人文环境</v>
      </c>
      <c r="R20" s="773" t="s">
        <v>17</v>
      </c>
      <c r="S20" s="774">
        <f>F20</f>
        <v>100</v>
      </c>
      <c r="T20" s="773" t="s">
        <v>17</v>
      </c>
      <c r="U20" s="774">
        <f>H20</f>
        <v>100</v>
      </c>
      <c r="V20" s="773" t="s">
        <v>17</v>
      </c>
      <c r="W20" s="774">
        <f>J20</f>
        <v>100</v>
      </c>
      <c r="X20" s="1815"/>
      <c r="Y20" s="319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0"/>
      <c r="Q21" s="1812"/>
      <c r="R21" s="773"/>
      <c r="S21" s="774"/>
      <c r="T21" s="773"/>
      <c r="U21" s="774"/>
      <c r="V21" s="773"/>
      <c r="W21" s="774"/>
      <c r="X21" s="1815"/>
      <c r="Y21" s="3190"/>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0"/>
      <c r="Q22" s="1812" t="str">
        <f>B22</f>
        <v>楼层</v>
      </c>
      <c r="R22" s="773" t="s">
        <v>17</v>
      </c>
      <c r="S22" s="774">
        <f>F22</f>
        <v>100</v>
      </c>
      <c r="T22" s="773" t="s">
        <v>17</v>
      </c>
      <c r="U22" s="774">
        <f>H22</f>
        <v>100</v>
      </c>
      <c r="V22" s="773" t="s">
        <v>17</v>
      </c>
      <c r="W22" s="774">
        <f>J22</f>
        <v>100</v>
      </c>
      <c r="X22" s="1815"/>
      <c r="Y22" s="3190"/>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0"/>
      <c r="Q23" s="1812">
        <f>B23</f>
        <v>111</v>
      </c>
      <c r="R23" s="773" t="s">
        <v>17</v>
      </c>
      <c r="S23" s="774">
        <f>F23</f>
        <v>100</v>
      </c>
      <c r="T23" s="773" t="s">
        <v>17</v>
      </c>
      <c r="U23" s="774">
        <f>H23</f>
        <v>100</v>
      </c>
      <c r="V23" s="773" t="s">
        <v>17</v>
      </c>
      <c r="W23" s="774">
        <f>J23</f>
        <v>100</v>
      </c>
      <c r="X23" s="1815"/>
      <c r="Y23" s="3190"/>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0"/>
      <c r="Q24" s="1812">
        <f t="shared" ref="Q24:Q34" si="11">B24</f>
        <v>111</v>
      </c>
      <c r="R24" s="773" t="s">
        <v>17</v>
      </c>
      <c r="S24" s="774">
        <f>F24</f>
        <v>100</v>
      </c>
      <c r="T24" s="773" t="s">
        <v>17</v>
      </c>
      <c r="U24" s="774">
        <f>H24</f>
        <v>100</v>
      </c>
      <c r="V24" s="773" t="s">
        <v>17</v>
      </c>
      <c r="W24" s="774">
        <f>J24</f>
        <v>100</v>
      </c>
      <c r="X24" s="1815"/>
      <c r="Y24" s="3190"/>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0"/>
      <c r="Q25" s="1797">
        <f t="shared" si="11"/>
        <v>111</v>
      </c>
      <c r="R25" s="769" t="s">
        <v>17</v>
      </c>
      <c r="S25" s="770">
        <f>F25</f>
        <v>100</v>
      </c>
      <c r="T25" s="769" t="s">
        <v>17</v>
      </c>
      <c r="U25" s="770">
        <f>H25</f>
        <v>100</v>
      </c>
      <c r="V25" s="769" t="s">
        <v>17</v>
      </c>
      <c r="W25" s="770">
        <f>J25</f>
        <v>100</v>
      </c>
      <c r="X25" s="771"/>
      <c r="Y25" s="3190"/>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5"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4"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4"/>
      <c r="Q28" s="1812" t="str">
        <f t="shared" si="11"/>
        <v>物业等级</v>
      </c>
      <c r="R28" s="773" t="s">
        <v>17</v>
      </c>
      <c r="S28" s="774">
        <f t="shared" si="12"/>
        <v>100</v>
      </c>
      <c r="T28" s="773" t="s">
        <v>17</v>
      </c>
      <c r="U28" s="774">
        <f t="shared" si="13"/>
        <v>100</v>
      </c>
      <c r="V28" s="773" t="s">
        <v>17</v>
      </c>
      <c r="W28" s="774">
        <f t="shared" si="14"/>
        <v>100</v>
      </c>
      <c r="X28" s="1815"/>
      <c r="Y28" s="3194"/>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4"/>
      <c r="Q29" s="1812" t="str">
        <f t="shared" si="11"/>
        <v>有无电梯</v>
      </c>
      <c r="R29" s="773" t="s">
        <v>17</v>
      </c>
      <c r="S29" s="774">
        <f t="shared" si="12"/>
        <v>100</v>
      </c>
      <c r="T29" s="773" t="s">
        <v>17</v>
      </c>
      <c r="U29" s="774">
        <f t="shared" si="13"/>
        <v>100</v>
      </c>
      <c r="V29" s="773" t="s">
        <v>17</v>
      </c>
      <c r="W29" s="774">
        <f t="shared" si="14"/>
        <v>100</v>
      </c>
      <c r="X29" s="1815"/>
      <c r="Y29" s="3194"/>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4"/>
      <c r="Q30" s="1812" t="str">
        <f t="shared" si="11"/>
        <v>建筑面积</v>
      </c>
      <c r="R30" s="773" t="s">
        <v>17</v>
      </c>
      <c r="S30" s="774" t="e">
        <f t="shared" si="12"/>
        <v>#N/A</v>
      </c>
      <c r="T30" s="773" t="s">
        <v>17</v>
      </c>
      <c r="U30" s="774" t="e">
        <f t="shared" si="13"/>
        <v>#N/A</v>
      </c>
      <c r="V30" s="773" t="s">
        <v>17</v>
      </c>
      <c r="W30" s="774" t="e">
        <f t="shared" si="14"/>
        <v>#N/A</v>
      </c>
      <c r="X30" s="1815"/>
      <c r="Y30" s="3194"/>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4"/>
      <c r="Q31" s="1797" t="str">
        <f t="shared" si="11"/>
        <v>是否封闭</v>
      </c>
      <c r="R31" s="769" t="s">
        <v>17</v>
      </c>
      <c r="S31" s="770">
        <f t="shared" si="12"/>
        <v>100</v>
      </c>
      <c r="T31" s="769" t="s">
        <v>17</v>
      </c>
      <c r="U31" s="770">
        <f t="shared" si="13"/>
        <v>100</v>
      </c>
      <c r="V31" s="769" t="s">
        <v>17</v>
      </c>
      <c r="W31" s="770">
        <f t="shared" si="14"/>
        <v>100</v>
      </c>
      <c r="X31" s="771"/>
      <c r="Y31" s="3194"/>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4" t="s">
        <v>2566</v>
      </c>
      <c r="Q32" s="1812">
        <f t="shared" si="11"/>
        <v>111</v>
      </c>
      <c r="R32" s="773" t="s">
        <v>17</v>
      </c>
      <c r="S32" s="774">
        <f t="shared" si="12"/>
        <v>100</v>
      </c>
      <c r="T32" s="773" t="s">
        <v>17</v>
      </c>
      <c r="U32" s="774">
        <f t="shared" si="13"/>
        <v>100</v>
      </c>
      <c r="V32" s="773" t="s">
        <v>17</v>
      </c>
      <c r="W32" s="774">
        <f t="shared" si="14"/>
        <v>100</v>
      </c>
      <c r="X32" s="1815"/>
      <c r="Y32" s="3194"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4"/>
      <c r="Q33" s="1812">
        <f t="shared" si="11"/>
        <v>111</v>
      </c>
      <c r="R33" s="773" t="s">
        <v>17</v>
      </c>
      <c r="S33" s="774">
        <f t="shared" si="12"/>
        <v>100</v>
      </c>
      <c r="T33" s="773" t="s">
        <v>17</v>
      </c>
      <c r="U33" s="774">
        <f t="shared" si="13"/>
        <v>100</v>
      </c>
      <c r="V33" s="773" t="s">
        <v>17</v>
      </c>
      <c r="W33" s="774">
        <f t="shared" si="14"/>
        <v>100</v>
      </c>
      <c r="X33" s="1815"/>
      <c r="Y33" s="3194"/>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30"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30"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187"/>
      <c r="Q10" s="1797" t="str">
        <f t="shared" si="6"/>
        <v>土地使用年限（年）</v>
      </c>
      <c r="R10" s="769" t="s">
        <v>17</v>
      </c>
      <c r="S10" s="770">
        <f t="shared" ca="1" si="0"/>
        <v>109</v>
      </c>
      <c r="T10" s="769" t="s">
        <v>17</v>
      </c>
      <c r="U10" s="770">
        <f t="shared" ca="1" si="1"/>
        <v>109</v>
      </c>
      <c r="V10" s="769" t="s">
        <v>17</v>
      </c>
      <c r="W10" s="770">
        <f t="shared" ca="1" si="2"/>
        <v>109</v>
      </c>
      <c r="X10" s="771"/>
      <c r="Y10" s="3012"/>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87"/>
      <c r="Q12" s="1797"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9" t="s">
        <v>2561</v>
      </c>
      <c r="Q15" s="1812" t="str">
        <f t="shared" si="6"/>
        <v>居住社区成熟度</v>
      </c>
      <c r="R15" s="773" t="s">
        <v>17</v>
      </c>
      <c r="S15" s="774">
        <f t="shared" si="0"/>
        <v>100</v>
      </c>
      <c r="T15" s="773" t="s">
        <v>17</v>
      </c>
      <c r="U15" s="774">
        <f t="shared" si="1"/>
        <v>100</v>
      </c>
      <c r="V15" s="773" t="s">
        <v>17</v>
      </c>
      <c r="W15" s="774">
        <f t="shared" si="2"/>
        <v>100</v>
      </c>
      <c r="X15" s="1815"/>
      <c r="Y15" s="3189"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190"/>
      <c r="Q16" s="1812"/>
      <c r="R16" s="773"/>
      <c r="S16" s="774"/>
      <c r="T16" s="773"/>
      <c r="U16" s="774"/>
      <c r="V16" s="773"/>
      <c r="W16" s="774"/>
      <c r="X16" s="1815"/>
      <c r="Y16" s="3190"/>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90"/>
      <c r="Q17" s="1812" t="str">
        <f>B17</f>
        <v>商业繁华度</v>
      </c>
      <c r="R17" s="773" t="s">
        <v>17</v>
      </c>
      <c r="S17" s="774">
        <f>F17</f>
        <v>100</v>
      </c>
      <c r="T17" s="773" t="s">
        <v>17</v>
      </c>
      <c r="U17" s="774">
        <f>H17</f>
        <v>100</v>
      </c>
      <c r="V17" s="773" t="s">
        <v>17</v>
      </c>
      <c r="W17" s="774">
        <f>J17</f>
        <v>100</v>
      </c>
      <c r="X17" s="1815"/>
      <c r="Y17" s="3190"/>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190"/>
      <c r="Q18" s="1812"/>
      <c r="R18" s="773"/>
      <c r="S18" s="774"/>
      <c r="T18" s="773"/>
      <c r="U18" s="774"/>
      <c r="V18" s="773"/>
      <c r="W18" s="774"/>
      <c r="X18" s="1815"/>
      <c r="Y18" s="3190"/>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0"/>
      <c r="Q19" s="1812" t="str">
        <f>B19</f>
        <v>办公集聚程度</v>
      </c>
      <c r="R19" s="773" t="s">
        <v>17</v>
      </c>
      <c r="S19" s="774">
        <f>F19</f>
        <v>100</v>
      </c>
      <c r="T19" s="773" t="s">
        <v>17</v>
      </c>
      <c r="U19" s="774">
        <f>H19</f>
        <v>100</v>
      </c>
      <c r="V19" s="773" t="s">
        <v>17</v>
      </c>
      <c r="W19" s="774">
        <f>J19</f>
        <v>100</v>
      </c>
      <c r="X19" s="1815"/>
      <c r="Y19" s="3190"/>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190"/>
      <c r="Q20" s="1812"/>
      <c r="R20" s="773"/>
      <c r="S20" s="774"/>
      <c r="T20" s="773"/>
      <c r="U20" s="774"/>
      <c r="V20" s="773"/>
      <c r="W20" s="774"/>
      <c r="X20" s="1815"/>
      <c r="Y20" s="3190"/>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90"/>
      <c r="Q21" s="1812" t="str">
        <f>B21</f>
        <v>交通便捷度</v>
      </c>
      <c r="R21" s="773" t="s">
        <v>17</v>
      </c>
      <c r="S21" s="774">
        <f>F21</f>
        <v>100</v>
      </c>
      <c r="T21" s="773" t="s">
        <v>17</v>
      </c>
      <c r="U21" s="774">
        <f>H21</f>
        <v>100</v>
      </c>
      <c r="V21" s="773" t="s">
        <v>17</v>
      </c>
      <c r="W21" s="774">
        <f>J21</f>
        <v>100</v>
      </c>
      <c r="X21" s="1815"/>
      <c r="Y21" s="3190"/>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190"/>
      <c r="Q22" s="1812"/>
      <c r="R22" s="773"/>
      <c r="S22" s="774"/>
      <c r="T22" s="773"/>
      <c r="U22" s="774"/>
      <c r="V22" s="773"/>
      <c r="W22" s="774"/>
      <c r="X22" s="1815"/>
      <c r="Y22" s="3190"/>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0"/>
      <c r="Q23" s="1812" t="str">
        <f t="shared" ref="Q23:Q37" si="8">B23</f>
        <v>区域土地利用方向</v>
      </c>
      <c r="R23" s="773" t="s">
        <v>17</v>
      </c>
      <c r="S23" s="774">
        <f>F23</f>
        <v>100</v>
      </c>
      <c r="T23" s="773" t="s">
        <v>17</v>
      </c>
      <c r="U23" s="774">
        <f>H23</f>
        <v>100</v>
      </c>
      <c r="V23" s="773" t="s">
        <v>17</v>
      </c>
      <c r="W23" s="774">
        <f>J23</f>
        <v>100</v>
      </c>
      <c r="X23" s="1815"/>
      <c r="Y23" s="3190"/>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190"/>
      <c r="Q24" s="1812"/>
      <c r="R24" s="773"/>
      <c r="S24" s="774"/>
      <c r="T24" s="773"/>
      <c r="U24" s="774"/>
      <c r="V24" s="773"/>
      <c r="W24" s="774"/>
      <c r="X24" s="1815"/>
      <c r="Y24" s="3190"/>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90"/>
      <c r="Q25" s="1812" t="str">
        <f t="shared" si="8"/>
        <v>自然及人文环境状况</v>
      </c>
      <c r="R25" s="773" t="s">
        <v>17</v>
      </c>
      <c r="S25" s="774">
        <f>F25</f>
        <v>100</v>
      </c>
      <c r="T25" s="773" t="s">
        <v>17</v>
      </c>
      <c r="U25" s="774">
        <f>H25</f>
        <v>100</v>
      </c>
      <c r="V25" s="773" t="s">
        <v>17</v>
      </c>
      <c r="W25" s="774">
        <f>J25</f>
        <v>100</v>
      </c>
      <c r="X25" s="1815"/>
      <c r="Y25" s="3190"/>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190"/>
      <c r="Q26" s="1812"/>
      <c r="R26" s="773"/>
      <c r="S26" s="774"/>
      <c r="T26" s="773"/>
      <c r="U26" s="774"/>
      <c r="V26" s="773"/>
      <c r="W26" s="774"/>
      <c r="X26" s="1815"/>
      <c r="Y26" s="3190"/>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90"/>
      <c r="Q27" s="1797" t="str">
        <f t="shared" si="8"/>
        <v>公共配套设施</v>
      </c>
      <c r="R27" s="769" t="s">
        <v>17</v>
      </c>
      <c r="S27" s="770">
        <f>F27</f>
        <v>100</v>
      </c>
      <c r="T27" s="769" t="s">
        <v>17</v>
      </c>
      <c r="U27" s="770">
        <f>H27</f>
        <v>100</v>
      </c>
      <c r="V27" s="769" t="s">
        <v>17</v>
      </c>
      <c r="W27" s="770">
        <f>J27</f>
        <v>100</v>
      </c>
      <c r="X27" s="771"/>
      <c r="Y27" s="3190"/>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190"/>
      <c r="Q28" s="1797"/>
      <c r="R28" s="769"/>
      <c r="S28" s="770"/>
      <c r="T28" s="769"/>
      <c r="U28" s="770"/>
      <c r="V28" s="769"/>
      <c r="W28" s="770"/>
      <c r="X28" s="771"/>
      <c r="Y28" s="3190"/>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90"/>
      <c r="Q29" s="1797" t="str">
        <f t="shared" ref="Q29" si="9">B29</f>
        <v>基础设施水平</v>
      </c>
      <c r="R29" s="769" t="s">
        <v>17</v>
      </c>
      <c r="S29" s="770">
        <f>F29</f>
        <v>100</v>
      </c>
      <c r="T29" s="769" t="s">
        <v>17</v>
      </c>
      <c r="U29" s="770">
        <f>H29</f>
        <v>100</v>
      </c>
      <c r="V29" s="769" t="s">
        <v>17</v>
      </c>
      <c r="W29" s="770">
        <f>J29</f>
        <v>100</v>
      </c>
      <c r="X29" s="771"/>
      <c r="Y29" s="3190"/>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190"/>
      <c r="Q30" s="1797"/>
      <c r="R30" s="769"/>
      <c r="S30" s="770"/>
      <c r="T30" s="769"/>
      <c r="U30" s="770"/>
      <c r="V30" s="769"/>
      <c r="W30" s="770"/>
      <c r="X30" s="771"/>
      <c r="Y30" s="3190"/>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0"/>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0"/>
      <c r="Q32" s="1812" t="str">
        <f t="shared" si="8"/>
        <v>毗邻道路的类型与等级</v>
      </c>
      <c r="R32" s="773" t="s">
        <v>17</v>
      </c>
      <c r="S32" s="774">
        <f t="shared" si="10"/>
        <v>100</v>
      </c>
      <c r="T32" s="773" t="s">
        <v>17</v>
      </c>
      <c r="U32" s="774">
        <f t="shared" si="11"/>
        <v>100</v>
      </c>
      <c r="V32" s="773" t="s">
        <v>17</v>
      </c>
      <c r="W32" s="774">
        <f t="shared" si="12"/>
        <v>100</v>
      </c>
      <c r="X32" s="1815"/>
      <c r="Y32" s="3190"/>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190"/>
      <c r="Q33" s="1812"/>
      <c r="R33" s="773"/>
      <c r="S33" s="774"/>
      <c r="T33" s="773"/>
      <c r="U33" s="774"/>
      <c r="V33" s="773"/>
      <c r="W33" s="774"/>
      <c r="X33" s="1815"/>
      <c r="Y33" s="3190"/>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0"/>
      <c r="Q34" s="1812" t="str">
        <f t="shared" si="8"/>
        <v>土地级别</v>
      </c>
      <c r="R34" s="773" t="s">
        <v>17</v>
      </c>
      <c r="S34" s="774">
        <f t="shared" si="10"/>
        <v>100</v>
      </c>
      <c r="T34" s="773" t="s">
        <v>17</v>
      </c>
      <c r="U34" s="774">
        <f t="shared" si="11"/>
        <v>100</v>
      </c>
      <c r="V34" s="773" t="s">
        <v>17</v>
      </c>
      <c r="W34" s="774">
        <f t="shared" si="12"/>
        <v>100</v>
      </c>
      <c r="X34" s="1815"/>
      <c r="Y34" s="319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0"/>
      <c r="Q35" s="1812">
        <f t="shared" si="8"/>
        <v>111</v>
      </c>
      <c r="R35" s="773" t="s">
        <v>17</v>
      </c>
      <c r="S35" s="774">
        <f t="shared" si="10"/>
        <v>100</v>
      </c>
      <c r="T35" s="773" t="s">
        <v>17</v>
      </c>
      <c r="U35" s="774">
        <f t="shared" si="11"/>
        <v>100</v>
      </c>
      <c r="V35" s="773" t="s">
        <v>17</v>
      </c>
      <c r="W35" s="774">
        <f t="shared" si="12"/>
        <v>100</v>
      </c>
      <c r="X35" s="1815"/>
      <c r="Y35" s="319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5" t="s">
        <v>2566</v>
      </c>
      <c r="Q36" s="1812">
        <f t="shared" si="8"/>
        <v>111</v>
      </c>
      <c r="R36" s="773" t="s">
        <v>17</v>
      </c>
      <c r="S36" s="774">
        <f t="shared" si="10"/>
        <v>100</v>
      </c>
      <c r="T36" s="773" t="s">
        <v>17</v>
      </c>
      <c r="U36" s="774">
        <f t="shared" si="11"/>
        <v>100</v>
      </c>
      <c r="V36" s="773" t="s">
        <v>17</v>
      </c>
      <c r="W36" s="774">
        <f t="shared" si="12"/>
        <v>100</v>
      </c>
      <c r="X36" s="1815"/>
      <c r="Y36" s="3194"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4"/>
      <c r="Q37" s="1812">
        <f t="shared" si="8"/>
        <v>111</v>
      </c>
      <c r="R37" s="776" t="s">
        <v>17</v>
      </c>
      <c r="S37" s="777">
        <f t="shared" si="10"/>
        <v>100</v>
      </c>
      <c r="T37" s="776" t="s">
        <v>17</v>
      </c>
      <c r="U37" s="777">
        <f t="shared" si="11"/>
        <v>100</v>
      </c>
      <c r="V37" s="776" t="s">
        <v>17</v>
      </c>
      <c r="W37" s="777">
        <f t="shared" si="12"/>
        <v>100</v>
      </c>
      <c r="X37" s="778"/>
      <c r="Y37" s="3194"/>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4"/>
      <c r="Q38" s="1812" t="str">
        <f>B38</f>
        <v>宗地面积</v>
      </c>
      <c r="R38" s="773" t="s">
        <v>17</v>
      </c>
      <c r="S38" s="774" t="e">
        <f t="shared" si="10"/>
        <v>#N/A</v>
      </c>
      <c r="T38" s="773" t="s">
        <v>17</v>
      </c>
      <c r="U38" s="774" t="e">
        <f t="shared" si="11"/>
        <v>#N/A</v>
      </c>
      <c r="V38" s="773" t="s">
        <v>17</v>
      </c>
      <c r="W38" s="774" t="e">
        <f t="shared" si="12"/>
        <v>#N/A</v>
      </c>
      <c r="X38" s="1815"/>
      <c r="Y38" s="3194"/>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194"/>
      <c r="Q39" s="1812" t="str">
        <f t="shared" ref="Q39:Q45" si="14">B39</f>
        <v>宗地形状</v>
      </c>
      <c r="R39" s="773" t="s">
        <v>17</v>
      </c>
      <c r="S39" s="774">
        <f t="shared" si="10"/>
        <v>100</v>
      </c>
      <c r="T39" s="773" t="s">
        <v>17</v>
      </c>
      <c r="U39" s="774">
        <f t="shared" si="11"/>
        <v>100</v>
      </c>
      <c r="V39" s="773" t="s">
        <v>17</v>
      </c>
      <c r="W39" s="774">
        <f t="shared" si="12"/>
        <v>100</v>
      </c>
      <c r="X39" s="1815"/>
      <c r="Y39" s="3194"/>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94"/>
      <c r="Q40" s="1812" t="str">
        <f t="shared" si="14"/>
        <v>临街宽度及深度</v>
      </c>
      <c r="R40" s="773" t="s">
        <v>17</v>
      </c>
      <c r="S40" s="774">
        <f t="shared" si="10"/>
        <v>100</v>
      </c>
      <c r="T40" s="773" t="s">
        <v>17</v>
      </c>
      <c r="U40" s="774">
        <f t="shared" si="11"/>
        <v>100</v>
      </c>
      <c r="V40" s="773" t="s">
        <v>17</v>
      </c>
      <c r="W40" s="774">
        <f t="shared" si="12"/>
        <v>100</v>
      </c>
      <c r="X40" s="1815"/>
      <c r="Y40" s="3194"/>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194"/>
      <c r="Q41" s="1812" t="str">
        <f t="shared" si="14"/>
        <v>宗地开发程度</v>
      </c>
      <c r="R41" s="769" t="s">
        <v>17</v>
      </c>
      <c r="S41" s="770">
        <f t="shared" si="10"/>
        <v>100</v>
      </c>
      <c r="T41" s="769" t="s">
        <v>17</v>
      </c>
      <c r="U41" s="770">
        <f t="shared" si="11"/>
        <v>100</v>
      </c>
      <c r="V41" s="769" t="s">
        <v>17</v>
      </c>
      <c r="W41" s="770">
        <f t="shared" si="12"/>
        <v>100</v>
      </c>
      <c r="X41" s="771"/>
      <c r="Y41" s="3194"/>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194" t="s">
        <v>2566</v>
      </c>
      <c r="Q42" s="1812" t="str">
        <f t="shared" si="14"/>
        <v>工程地质条件</v>
      </c>
      <c r="R42" s="773" t="s">
        <v>17</v>
      </c>
      <c r="S42" s="774">
        <f t="shared" si="10"/>
        <v>100</v>
      </c>
      <c r="T42" s="773" t="s">
        <v>17</v>
      </c>
      <c r="U42" s="774">
        <f t="shared" si="11"/>
        <v>100</v>
      </c>
      <c r="V42" s="773" t="s">
        <v>17</v>
      </c>
      <c r="W42" s="774">
        <f t="shared" si="12"/>
        <v>100</v>
      </c>
      <c r="X42" s="1815"/>
      <c r="Y42" s="3194"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4"/>
      <c r="Q43" s="1812">
        <f t="shared" si="14"/>
        <v>111</v>
      </c>
      <c r="R43" s="773" t="s">
        <v>17</v>
      </c>
      <c r="S43" s="774">
        <f t="shared" si="10"/>
        <v>100</v>
      </c>
      <c r="T43" s="773" t="s">
        <v>17</v>
      </c>
      <c r="U43" s="774">
        <f t="shared" si="11"/>
        <v>100</v>
      </c>
      <c r="V43" s="773" t="s">
        <v>17</v>
      </c>
      <c r="W43" s="774">
        <f t="shared" si="12"/>
        <v>100</v>
      </c>
      <c r="X43" s="1815"/>
      <c r="Y43" s="319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4"/>
      <c r="Q44" s="1812">
        <f t="shared" si="14"/>
        <v>111</v>
      </c>
      <c r="R44" s="773" t="s">
        <v>17</v>
      </c>
      <c r="S44" s="774">
        <f t="shared" si="10"/>
        <v>100</v>
      </c>
      <c r="T44" s="773" t="s">
        <v>17</v>
      </c>
      <c r="U44" s="774">
        <f t="shared" si="11"/>
        <v>100</v>
      </c>
      <c r="V44" s="773" t="s">
        <v>17</v>
      </c>
      <c r="W44" s="774">
        <f t="shared" si="12"/>
        <v>100</v>
      </c>
      <c r="X44" s="1815"/>
      <c r="Y44" s="3194"/>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4"/>
      <c r="Q45" s="1812">
        <f t="shared" si="14"/>
        <v>111</v>
      </c>
      <c r="R45" s="776" t="s">
        <v>17</v>
      </c>
      <c r="S45" s="777">
        <f t="shared" si="10"/>
        <v>100</v>
      </c>
      <c r="T45" s="776" t="s">
        <v>17</v>
      </c>
      <c r="U45" s="777">
        <f t="shared" si="11"/>
        <v>100</v>
      </c>
      <c r="V45" s="776" t="s">
        <v>17</v>
      </c>
      <c r="W45" s="777">
        <f t="shared" si="12"/>
        <v>100</v>
      </c>
      <c r="X45" s="778"/>
      <c r="Y45" s="3194"/>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187" t="str">
        <f>A46</f>
        <v>成交单价</v>
      </c>
      <c r="Q46" s="3187"/>
      <c r="R46" s="3218">
        <f>E46</f>
        <v>0</v>
      </c>
      <c r="S46" s="3218"/>
      <c r="T46" s="3218">
        <f>G46</f>
        <v>0</v>
      </c>
      <c r="U46" s="3218"/>
      <c r="V46" s="3218">
        <f>I46</f>
        <v>0</v>
      </c>
      <c r="W46" s="3218"/>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87" t="str">
        <f>A47</f>
        <v>比较价值（元/平方米）</v>
      </c>
      <c r="Q47" s="3187"/>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84" t="str">
        <f>A48</f>
        <v>估价对象XX用房的比较价值（楼面单价，元/平方米）</v>
      </c>
      <c r="Q48" s="3185"/>
      <c r="R48" s="3247" t="e">
        <f>ROUND(AVERAGE(R47:V47),0)</f>
        <v>#DIV/0!</v>
      </c>
      <c r="S48" s="3247"/>
      <c r="T48" s="3247"/>
      <c r="U48" s="3247"/>
      <c r="V48" s="3247"/>
      <c r="W48" s="32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2" t="s">
        <v>2765</v>
      </c>
      <c r="H55" s="3248"/>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3846.04</v>
      </c>
      <c r="F56" s="1105" t="e">
        <f t="shared" ref="F56:F65" si="15">ROUND(B56*E56/10000,0)</f>
        <v>#DIV/0!</v>
      </c>
      <c r="G56" s="3198"/>
      <c r="H56" s="3187"/>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49"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49"/>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49"/>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49"/>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3846.04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50" t="s">
        <v>2798</v>
      </c>
      <c r="D6" s="3251"/>
      <c r="E6" s="3252" t="s">
        <v>2798</v>
      </c>
      <c r="F6" s="3253"/>
      <c r="G6" s="3250" t="s">
        <v>2798</v>
      </c>
      <c r="H6" s="3251"/>
      <c r="I6" s="3250" t="s">
        <v>2798</v>
      </c>
      <c r="J6" s="3251"/>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187"/>
      <c r="Q10" s="1797" t="str">
        <f t="shared" si="6"/>
        <v>土地使用年限（年）</v>
      </c>
      <c r="R10" s="769" t="s">
        <v>17</v>
      </c>
      <c r="S10" s="770">
        <f t="shared" ca="1" si="0"/>
        <v>109</v>
      </c>
      <c r="T10" s="769" t="s">
        <v>17</v>
      </c>
      <c r="U10" s="770">
        <f t="shared" ca="1" si="1"/>
        <v>109</v>
      </c>
      <c r="V10" s="769" t="s">
        <v>17</v>
      </c>
      <c r="W10" s="770">
        <f t="shared" ca="1" si="2"/>
        <v>109</v>
      </c>
      <c r="X10" s="771"/>
      <c r="Y10" s="3012"/>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9" t="s">
        <v>2561</v>
      </c>
      <c r="Q15" s="1812" t="str">
        <f t="shared" si="6"/>
        <v>产业集聚程度</v>
      </c>
      <c r="R15" s="773" t="s">
        <v>17</v>
      </c>
      <c r="S15" s="774">
        <f t="shared" si="0"/>
        <v>100</v>
      </c>
      <c r="T15" s="773" t="s">
        <v>17</v>
      </c>
      <c r="U15" s="774">
        <f t="shared" si="1"/>
        <v>100</v>
      </c>
      <c r="V15" s="773" t="s">
        <v>17</v>
      </c>
      <c r="W15" s="774">
        <f t="shared" si="2"/>
        <v>100</v>
      </c>
      <c r="X15" s="1815"/>
      <c r="Y15" s="3189"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90"/>
      <c r="Q16" s="1812"/>
      <c r="R16" s="773"/>
      <c r="S16" s="774"/>
      <c r="T16" s="773"/>
      <c r="U16" s="774"/>
      <c r="V16" s="773"/>
      <c r="W16" s="774"/>
      <c r="X16" s="1815"/>
      <c r="Y16" s="3190"/>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0"/>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90"/>
      <c r="Q18" s="1812"/>
      <c r="R18" s="773"/>
      <c r="S18" s="774"/>
      <c r="T18" s="773"/>
      <c r="U18" s="774"/>
      <c r="V18" s="773"/>
      <c r="W18" s="774"/>
      <c r="X18" s="1815"/>
      <c r="Y18" s="3190"/>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0"/>
      <c r="Q19" s="1812" t="str">
        <f t="shared" ref="Q19:Q33" si="8">B19</f>
        <v>区域土地利用方向</v>
      </c>
      <c r="R19" s="773" t="s">
        <v>17</v>
      </c>
      <c r="S19" s="774">
        <f>F19</f>
        <v>100</v>
      </c>
      <c r="T19" s="773" t="s">
        <v>17</v>
      </c>
      <c r="U19" s="774">
        <f>H19</f>
        <v>100</v>
      </c>
      <c r="V19" s="773" t="s">
        <v>17</v>
      </c>
      <c r="W19" s="774">
        <f>J19</f>
        <v>100</v>
      </c>
      <c r="X19" s="1815"/>
      <c r="Y19" s="3190"/>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90"/>
      <c r="Q20" s="1812"/>
      <c r="R20" s="773"/>
      <c r="S20" s="774"/>
      <c r="T20" s="773"/>
      <c r="U20" s="774"/>
      <c r="V20" s="773"/>
      <c r="W20" s="774"/>
      <c r="X20" s="1815"/>
      <c r="Y20" s="3190"/>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0"/>
      <c r="Q21" s="1812" t="str">
        <f t="shared" si="8"/>
        <v>环境状况</v>
      </c>
      <c r="R21" s="773" t="s">
        <v>17</v>
      </c>
      <c r="S21" s="774">
        <f>F21</f>
        <v>100</v>
      </c>
      <c r="T21" s="773" t="s">
        <v>17</v>
      </c>
      <c r="U21" s="774">
        <f>H21</f>
        <v>100</v>
      </c>
      <c r="V21" s="773" t="s">
        <v>17</v>
      </c>
      <c r="W21" s="774">
        <f>J21</f>
        <v>100</v>
      </c>
      <c r="X21" s="1815"/>
      <c r="Y21" s="3190"/>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90"/>
      <c r="Q22" s="1812"/>
      <c r="R22" s="773"/>
      <c r="S22" s="774"/>
      <c r="T22" s="773"/>
      <c r="U22" s="774"/>
      <c r="V22" s="773"/>
      <c r="W22" s="774"/>
      <c r="X22" s="1815"/>
      <c r="Y22" s="3190"/>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0"/>
      <c r="Q23" s="1797" t="str">
        <f t="shared" si="8"/>
        <v>公共配套设施</v>
      </c>
      <c r="R23" s="769" t="s">
        <v>17</v>
      </c>
      <c r="S23" s="770">
        <f>F23</f>
        <v>100</v>
      </c>
      <c r="T23" s="769" t="s">
        <v>17</v>
      </c>
      <c r="U23" s="770">
        <f>H23</f>
        <v>100</v>
      </c>
      <c r="V23" s="769" t="s">
        <v>17</v>
      </c>
      <c r="W23" s="770">
        <f>J23</f>
        <v>100</v>
      </c>
      <c r="X23" s="771"/>
      <c r="Y23" s="3190"/>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90"/>
      <c r="Q24" s="1797"/>
      <c r="R24" s="769"/>
      <c r="S24" s="770"/>
      <c r="T24" s="769"/>
      <c r="U24" s="770"/>
      <c r="V24" s="769"/>
      <c r="W24" s="770"/>
      <c r="X24" s="771"/>
      <c r="Y24" s="3190"/>
      <c r="Z24" s="55"/>
      <c r="AA24" s="772">
        <v>1</v>
      </c>
      <c r="AB24" s="772">
        <v>1</v>
      </c>
      <c r="AC24" s="772">
        <v>1</v>
      </c>
    </row>
    <row r="25" spans="1:29" s="117" customFormat="1" ht="42.75">
      <c r="A25" s="648"/>
      <c r="B25" s="632" t="s">
        <v>2656</v>
      </c>
      <c r="C25" s="2607" t="str">
        <f>估价对象房地状况!G20</f>
        <v>估价对象所在区域基础设施水平较好</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0"/>
      <c r="Q25" s="1797" t="str">
        <f t="shared" ref="Q25" si="9">B25</f>
        <v>基础设施水平</v>
      </c>
      <c r="R25" s="769" t="s">
        <v>17</v>
      </c>
      <c r="S25" s="770">
        <f>F25</f>
        <v>100</v>
      </c>
      <c r="T25" s="769" t="s">
        <v>17</v>
      </c>
      <c r="U25" s="770">
        <f>H25</f>
        <v>100</v>
      </c>
      <c r="V25" s="769" t="s">
        <v>17</v>
      </c>
      <c r="W25" s="770">
        <f>J25</f>
        <v>100</v>
      </c>
      <c r="X25" s="771"/>
      <c r="Y25" s="3190"/>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90"/>
      <c r="Q26" s="1797"/>
      <c r="R26" s="769"/>
      <c r="S26" s="770"/>
      <c r="T26" s="769"/>
      <c r="U26" s="770"/>
      <c r="V26" s="769"/>
      <c r="W26" s="770"/>
      <c r="X26" s="771"/>
      <c r="Y26" s="3190"/>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0"/>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0"/>
      <c r="Q28" s="1812" t="str">
        <f t="shared" si="8"/>
        <v>毗邻道路的类型与等级</v>
      </c>
      <c r="R28" s="773" t="s">
        <v>17</v>
      </c>
      <c r="S28" s="774">
        <f t="shared" si="10"/>
        <v>100</v>
      </c>
      <c r="T28" s="773" t="s">
        <v>17</v>
      </c>
      <c r="U28" s="774">
        <f t="shared" si="11"/>
        <v>100</v>
      </c>
      <c r="V28" s="773" t="s">
        <v>17</v>
      </c>
      <c r="W28" s="774">
        <f t="shared" si="12"/>
        <v>100</v>
      </c>
      <c r="X28" s="1815"/>
      <c r="Y28" s="3190"/>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90"/>
      <c r="Q29" s="1812"/>
      <c r="R29" s="773"/>
      <c r="S29" s="774"/>
      <c r="T29" s="773"/>
      <c r="U29" s="774"/>
      <c r="V29" s="773"/>
      <c r="W29" s="774"/>
      <c r="X29" s="1815"/>
      <c r="Y29" s="3190"/>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0"/>
      <c r="Q30" s="1812" t="str">
        <f t="shared" si="8"/>
        <v>土地级别</v>
      </c>
      <c r="R30" s="773" t="s">
        <v>17</v>
      </c>
      <c r="S30" s="774">
        <f t="shared" si="10"/>
        <v>100</v>
      </c>
      <c r="T30" s="773" t="s">
        <v>17</v>
      </c>
      <c r="U30" s="774">
        <f t="shared" si="11"/>
        <v>100</v>
      </c>
      <c r="V30" s="773" t="s">
        <v>17</v>
      </c>
      <c r="W30" s="774">
        <f t="shared" si="12"/>
        <v>100</v>
      </c>
      <c r="X30" s="1815"/>
      <c r="Y30" s="3190"/>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0"/>
      <c r="Q31" s="1812">
        <f t="shared" si="8"/>
        <v>111</v>
      </c>
      <c r="R31" s="773" t="s">
        <v>17</v>
      </c>
      <c r="S31" s="774">
        <f t="shared" si="10"/>
        <v>100</v>
      </c>
      <c r="T31" s="773" t="s">
        <v>17</v>
      </c>
      <c r="U31" s="774">
        <f t="shared" si="11"/>
        <v>100</v>
      </c>
      <c r="V31" s="773" t="s">
        <v>17</v>
      </c>
      <c r="W31" s="774">
        <f t="shared" si="12"/>
        <v>100</v>
      </c>
      <c r="X31" s="1815"/>
      <c r="Y31" s="3190"/>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5" t="s">
        <v>2566</v>
      </c>
      <c r="Q32" s="1812">
        <f t="shared" si="8"/>
        <v>111</v>
      </c>
      <c r="R32" s="773" t="s">
        <v>17</v>
      </c>
      <c r="S32" s="774">
        <f t="shared" si="10"/>
        <v>100</v>
      </c>
      <c r="T32" s="773" t="s">
        <v>17</v>
      </c>
      <c r="U32" s="774">
        <f t="shared" si="11"/>
        <v>100</v>
      </c>
      <c r="V32" s="773" t="s">
        <v>17</v>
      </c>
      <c r="W32" s="774">
        <f t="shared" si="12"/>
        <v>100</v>
      </c>
      <c r="X32" s="1815"/>
      <c r="Y32" s="3194"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4"/>
      <c r="Q33" s="1812">
        <f t="shared" si="8"/>
        <v>111</v>
      </c>
      <c r="R33" s="776" t="s">
        <v>17</v>
      </c>
      <c r="S33" s="777">
        <f t="shared" si="10"/>
        <v>100</v>
      </c>
      <c r="T33" s="776" t="s">
        <v>17</v>
      </c>
      <c r="U33" s="777">
        <f t="shared" si="11"/>
        <v>100</v>
      </c>
      <c r="V33" s="776" t="s">
        <v>17</v>
      </c>
      <c r="W33" s="777">
        <f t="shared" si="12"/>
        <v>100</v>
      </c>
      <c r="X33" s="778"/>
      <c r="Y33" s="3194"/>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4"/>
      <c r="Q34" s="1812" t="str">
        <f>B34</f>
        <v>宗地面积</v>
      </c>
      <c r="R34" s="773" t="s">
        <v>17</v>
      </c>
      <c r="S34" s="774" t="e">
        <f t="shared" si="10"/>
        <v>#N/A</v>
      </c>
      <c r="T34" s="773" t="s">
        <v>17</v>
      </c>
      <c r="U34" s="774" t="e">
        <f t="shared" si="11"/>
        <v>#N/A</v>
      </c>
      <c r="V34" s="773" t="s">
        <v>17</v>
      </c>
      <c r="W34" s="774" t="e">
        <f t="shared" si="12"/>
        <v>#N/A</v>
      </c>
      <c r="X34" s="1815"/>
      <c r="Y34" s="3194"/>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4"/>
      <c r="Q35" s="1812" t="str">
        <f t="shared" ref="Q35:Q40" si="14">B35</f>
        <v>宗地形状</v>
      </c>
      <c r="R35" s="773" t="s">
        <v>17</v>
      </c>
      <c r="S35" s="774">
        <f t="shared" si="10"/>
        <v>100</v>
      </c>
      <c r="T35" s="773" t="s">
        <v>17</v>
      </c>
      <c r="U35" s="774">
        <f t="shared" si="11"/>
        <v>100</v>
      </c>
      <c r="V35" s="773" t="s">
        <v>17</v>
      </c>
      <c r="W35" s="774">
        <f t="shared" si="12"/>
        <v>100</v>
      </c>
      <c r="X35" s="1815"/>
      <c r="Y35" s="3194"/>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4"/>
      <c r="Q36" s="1812" t="str">
        <f t="shared" si="14"/>
        <v>宗地开发程度</v>
      </c>
      <c r="R36" s="769" t="s">
        <v>17</v>
      </c>
      <c r="S36" s="770">
        <f t="shared" si="10"/>
        <v>100</v>
      </c>
      <c r="T36" s="769" t="s">
        <v>17</v>
      </c>
      <c r="U36" s="770">
        <f t="shared" si="11"/>
        <v>100</v>
      </c>
      <c r="V36" s="769" t="s">
        <v>17</v>
      </c>
      <c r="W36" s="770">
        <f t="shared" si="12"/>
        <v>100</v>
      </c>
      <c r="X36" s="771"/>
      <c r="Y36" s="3194"/>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4" t="s">
        <v>2566</v>
      </c>
      <c r="Q37" s="1812" t="str">
        <f t="shared" si="14"/>
        <v>工程地质条件</v>
      </c>
      <c r="R37" s="773" t="s">
        <v>17</v>
      </c>
      <c r="S37" s="774">
        <f t="shared" si="10"/>
        <v>100</v>
      </c>
      <c r="T37" s="773" t="s">
        <v>17</v>
      </c>
      <c r="U37" s="774">
        <f t="shared" si="11"/>
        <v>100</v>
      </c>
      <c r="V37" s="773" t="s">
        <v>17</v>
      </c>
      <c r="W37" s="774">
        <f t="shared" si="12"/>
        <v>100</v>
      </c>
      <c r="X37" s="1815"/>
      <c r="Y37" s="3194"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4"/>
      <c r="Q38" s="1812">
        <f t="shared" si="14"/>
        <v>111</v>
      </c>
      <c r="R38" s="773" t="s">
        <v>17</v>
      </c>
      <c r="S38" s="774">
        <f t="shared" si="10"/>
        <v>100</v>
      </c>
      <c r="T38" s="773" t="s">
        <v>17</v>
      </c>
      <c r="U38" s="774">
        <f t="shared" si="11"/>
        <v>100</v>
      </c>
      <c r="V38" s="773" t="s">
        <v>17</v>
      </c>
      <c r="W38" s="774">
        <f t="shared" si="12"/>
        <v>100</v>
      </c>
      <c r="X38" s="1815"/>
      <c r="Y38" s="3194"/>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4"/>
      <c r="Q39" s="1812">
        <f t="shared" si="14"/>
        <v>111</v>
      </c>
      <c r="R39" s="773" t="s">
        <v>17</v>
      </c>
      <c r="S39" s="774">
        <f t="shared" si="10"/>
        <v>100</v>
      </c>
      <c r="T39" s="773" t="s">
        <v>17</v>
      </c>
      <c r="U39" s="774">
        <f t="shared" si="11"/>
        <v>100</v>
      </c>
      <c r="V39" s="773" t="s">
        <v>17</v>
      </c>
      <c r="W39" s="774">
        <f t="shared" si="12"/>
        <v>100</v>
      </c>
      <c r="X39" s="1815"/>
      <c r="Y39" s="3194"/>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4"/>
      <c r="Q40" s="1812">
        <f t="shared" si="14"/>
        <v>111</v>
      </c>
      <c r="R40" s="776" t="s">
        <v>17</v>
      </c>
      <c r="S40" s="777">
        <f t="shared" si="10"/>
        <v>100</v>
      </c>
      <c r="T40" s="776" t="s">
        <v>17</v>
      </c>
      <c r="U40" s="777">
        <f t="shared" si="11"/>
        <v>100</v>
      </c>
      <c r="V40" s="776" t="s">
        <v>17</v>
      </c>
      <c r="W40" s="777">
        <f t="shared" si="12"/>
        <v>100</v>
      </c>
      <c r="X40" s="778"/>
      <c r="Y40" s="3194"/>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87" t="str">
        <f>A41</f>
        <v>成交单价</v>
      </c>
      <c r="Q41" s="3187"/>
      <c r="R41" s="3218">
        <f>E41</f>
        <v>0</v>
      </c>
      <c r="S41" s="3218"/>
      <c r="T41" s="3218">
        <f>G41</f>
        <v>0</v>
      </c>
      <c r="U41" s="3218"/>
      <c r="V41" s="3218">
        <f>I41</f>
        <v>0</v>
      </c>
      <c r="W41" s="321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87" t="str">
        <f>A42</f>
        <v>比较价值（元/平方米）</v>
      </c>
      <c r="Q42" s="3187"/>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4" t="str">
        <f>A43</f>
        <v>估价对象XX用房的比较价值（楼面单价，元/平方米）</v>
      </c>
      <c r="Q43" s="3185"/>
      <c r="R43" s="3247" t="e">
        <f>ROUND(AVERAGE(R42:V42),0)</f>
        <v>#DIV/0!</v>
      </c>
      <c r="S43" s="3247"/>
      <c r="T43" s="3247"/>
      <c r="U43" s="3247"/>
      <c r="V43" s="3247"/>
      <c r="W43" s="32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2" t="s">
        <v>2765</v>
      </c>
      <c r="H50" s="3248"/>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3846.04</v>
      </c>
      <c r="F51" s="690" t="e">
        <f t="shared" ref="F51:F60" si="15">ROUND(B51*E51/10000,0)</f>
        <v>#DIV/0!</v>
      </c>
      <c r="G51" s="3198"/>
      <c r="H51" s="3187"/>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49"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49"/>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49"/>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49"/>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1176.69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1455</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3783</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304</v>
      </c>
      <c r="D5" s="254" t="s">
        <v>2335</v>
      </c>
      <c r="E5" s="255" t="s">
        <v>2336</v>
      </c>
      <c r="F5" s="255" t="s">
        <v>2337</v>
      </c>
      <c r="G5" s="256"/>
    </row>
    <row r="6" spans="1:9" s="257" customFormat="1" ht="13.5" customHeight="1">
      <c r="A6" s="951" t="s">
        <v>2338</v>
      </c>
      <c r="B6" s="258" t="s">
        <v>2339</v>
      </c>
      <c r="C6" s="259">
        <f ca="1">基准地价修正!E29</f>
        <v>250</v>
      </c>
      <c r="D6" s="260"/>
      <c r="E6" s="261"/>
      <c r="F6" s="261"/>
      <c r="G6" s="262"/>
    </row>
    <row r="7" spans="1:9" s="257" customFormat="1" ht="13.5" customHeight="1">
      <c r="A7" s="951" t="s">
        <v>2340</v>
      </c>
      <c r="B7" s="258" t="s">
        <v>2341</v>
      </c>
      <c r="C7" s="263">
        <f ca="1">ROUND(C6*F7,0)</f>
        <v>8</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46</v>
      </c>
      <c r="D8" s="265"/>
      <c r="E8" s="263"/>
      <c r="F8" s="264"/>
      <c r="G8" s="2550" t="s">
        <v>3105</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46</v>
      </c>
      <c r="D10" s="1034">
        <f ca="1">IF(B1="",'数据-汇总表'!E6,IF(INDIRECT("'数据-取费表'!c"&amp;$G$1)="住宅",INDIRECT("'数据-取费表'!s"&amp;$G$1),INDIRECT("'数据-取费表'!k"&amp;$G$1)+INDIRECT("'数据-取费表'!s"&amp;$G$1)))</f>
        <v>3846.04</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3846.04</v>
      </c>
      <c r="E19" s="254">
        <f>'数据-取费表'!B31</f>
        <v>200</v>
      </c>
      <c r="F19" s="274"/>
      <c r="G19" s="2550" t="s">
        <v>3075</v>
      </c>
    </row>
    <row r="20" spans="1:7" s="257" customFormat="1" ht="13.5" customHeight="1">
      <c r="A20" s="298" t="s">
        <v>2359</v>
      </c>
      <c r="B20" s="253" t="s">
        <v>2360</v>
      </c>
      <c r="C20" s="275">
        <f ca="1">ROUND((C5+C19)*F20,0)</f>
        <v>6</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30</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30</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31</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31</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401</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881</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769</v>
      </c>
      <c r="D34" s="260"/>
      <c r="E34" s="263"/>
      <c r="F34" s="300">
        <f ca="1">IF('数据-取费表'!B24=0,1,IF(B1="",'数据-取费表'!N16,INDIRECT("'数据-取费表'!n"&amp;$G$1)))</f>
        <v>1</v>
      </c>
      <c r="G34" s="262" t="s">
        <v>2392</v>
      </c>
    </row>
    <row r="35" spans="1:7" ht="13.5" customHeight="1">
      <c r="A35" s="953" t="s">
        <v>796</v>
      </c>
      <c r="B35" s="258" t="s">
        <v>2393</v>
      </c>
      <c r="C35" s="263">
        <f ca="1">ROUND(C34*F35,0)</f>
        <v>23</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77</v>
      </c>
      <c r="D37" s="260">
        <f ca="1">D19</f>
        <v>3846.04</v>
      </c>
      <c r="E37" s="292">
        <f>'数据-取费表'!B35</f>
        <v>200</v>
      </c>
      <c r="F37" s="302"/>
      <c r="G37" s="304" t="s">
        <v>2398</v>
      </c>
    </row>
    <row r="38" spans="1:7" ht="13.5" customHeight="1">
      <c r="A38" s="953" t="s">
        <v>799</v>
      </c>
      <c r="B38" s="258" t="s">
        <v>2399</v>
      </c>
      <c r="C38" s="263">
        <f ca="1">ROUND(C34*F38,0)</f>
        <v>12</v>
      </c>
      <c r="D38" s="263"/>
      <c r="E38" s="263"/>
      <c r="F38" s="302">
        <f>'数据-取费表'!B36</f>
        <v>1.4999999999999999E-2</v>
      </c>
      <c r="G38" s="262" t="s">
        <v>2394</v>
      </c>
    </row>
    <row r="39" spans="1:7" s="257" customFormat="1" ht="13.5" customHeight="1">
      <c r="A39" s="298" t="s">
        <v>2400</v>
      </c>
      <c r="B39" s="253" t="s">
        <v>2401</v>
      </c>
      <c r="C39" s="275">
        <f ca="1">ROUND(C33*F20,0)</f>
        <v>18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43</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42</v>
      </c>
      <c r="D42" s="281"/>
      <c r="E42" s="281"/>
      <c r="F42" s="282"/>
      <c r="G42" s="3154" t="s">
        <v>2410</v>
      </c>
    </row>
    <row r="43" spans="1:7" ht="13.5" customHeight="1">
      <c r="A43" s="953" t="s">
        <v>792</v>
      </c>
      <c r="B43" s="258" t="s">
        <v>2411</v>
      </c>
      <c r="C43" s="281">
        <f ca="1">ROUND(IF('数据-取费表'!B22&lt;=1,C39*F22*'数据-取费表'!B21/2,C39*(POWER((1+F22),'数据-取费表'!B21/2)-1)),0)</f>
        <v>1</v>
      </c>
      <c r="D43" s="281"/>
      <c r="E43" s="281"/>
      <c r="F43" s="282"/>
      <c r="G43" s="3155"/>
    </row>
    <row r="44" spans="1:7" ht="13.5" customHeight="1">
      <c r="A44" s="953" t="s">
        <v>793</v>
      </c>
      <c r="B44" s="258" t="s">
        <v>2412</v>
      </c>
      <c r="C44" s="281">
        <f ca="1">ROUND(IF('数据-取费表'!B22&lt;=1,C40*F22*'数据-取费表'!B21/2,C40*(POWER((1+F22),'数据-取费表'!B21/2)-1)),4)</f>
        <v>1E-3</v>
      </c>
      <c r="D44" s="281"/>
      <c r="E44" s="281"/>
      <c r="F44" s="282"/>
      <c r="G44" s="3156"/>
    </row>
    <row r="45" spans="1:7" s="257" customFormat="1" ht="13.5" customHeight="1">
      <c r="A45" s="298" t="s">
        <v>2413</v>
      </c>
      <c r="B45" s="287" t="s">
        <v>2379</v>
      </c>
      <c r="C45" s="288">
        <f ca="1">C46</f>
        <v>90</v>
      </c>
      <c r="D45" s="278">
        <f ca="1">C47</f>
        <v>2E-3</v>
      </c>
      <c r="E45" s="279" t="s">
        <v>2405</v>
      </c>
      <c r="F45" s="289"/>
      <c r="G45" s="290" t="s">
        <v>2414</v>
      </c>
    </row>
    <row r="46" spans="1:7" s="257" customFormat="1" ht="13.5" customHeight="1">
      <c r="A46" s="953" t="s">
        <v>791</v>
      </c>
      <c r="B46" s="291" t="s">
        <v>2415</v>
      </c>
      <c r="C46" s="292">
        <f ca="1">ROUND((C33+C39)*F27,0)</f>
        <v>90</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1116</v>
      </c>
      <c r="D49" s="275"/>
      <c r="E49" s="275"/>
      <c r="F49" s="307"/>
      <c r="G49" s="277" t="s">
        <v>2420</v>
      </c>
    </row>
    <row r="50" spans="1:7" s="301" customFormat="1" ht="24">
      <c r="A50" s="298" t="s">
        <v>2421</v>
      </c>
      <c r="B50" s="253" t="s">
        <v>2422</v>
      </c>
      <c r="C50" s="275"/>
      <c r="D50" s="275"/>
      <c r="E50" s="275"/>
      <c r="F50" s="307">
        <f>IF('数据-取费表'!B24=0,'数据-取费表'!N16,1)</f>
        <v>0.94399999999999995</v>
      </c>
      <c r="G50" s="290" t="s">
        <v>2423</v>
      </c>
    </row>
    <row r="51" spans="1:7" ht="16.5" customHeight="1">
      <c r="A51" s="298" t="s">
        <v>2424</v>
      </c>
      <c r="B51" s="253" t="s">
        <v>2425</v>
      </c>
      <c r="C51" s="275">
        <f ca="1">ROUND(C49*F50,0)</f>
        <v>1054</v>
      </c>
      <c r="D51" s="275"/>
      <c r="E51" s="275"/>
      <c r="F51" s="307"/>
      <c r="G51" s="277" t="s">
        <v>2426</v>
      </c>
    </row>
    <row r="52" spans="1:7" s="251" customFormat="1" ht="16.5" thickBot="1">
      <c r="A52" s="308" t="s">
        <v>2427</v>
      </c>
      <c r="B52" s="309"/>
      <c r="C52" s="310">
        <f ca="1">C31+C51</f>
        <v>1455</v>
      </c>
      <c r="D52" s="309"/>
      <c r="E52" s="309"/>
      <c r="F52" s="309"/>
      <c r="G52" s="311"/>
    </row>
    <row r="55" spans="1:7" ht="15">
      <c r="B55" s="313" t="s">
        <v>2428</v>
      </c>
      <c r="C55" s="314"/>
    </row>
    <row r="56" spans="1:7">
      <c r="B56" s="316" t="s">
        <v>1513</v>
      </c>
      <c r="C56" s="318">
        <f ca="1">1-C57</f>
        <v>0.27600000000000002</v>
      </c>
    </row>
    <row r="57" spans="1:7">
      <c r="B57" s="316" t="s">
        <v>1514</v>
      </c>
      <c r="C57" s="317">
        <f ca="1">ROUND(C51/C52,3)</f>
        <v>0.72399999999999998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Normal="100" zoomScaleSheetLayoutView="96" workbookViewId="0">
      <selection activeCell="E29" sqref="E2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3846.04</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250</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2188</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650</v>
      </c>
      <c r="C3" s="2721" t="s">
        <v>2820</v>
      </c>
      <c r="D3" s="2722" t="s">
        <v>2821</v>
      </c>
      <c r="E3" s="2727" t="s">
        <v>3070</v>
      </c>
      <c r="F3" s="2728" t="s">
        <v>2822</v>
      </c>
      <c r="G3" s="915">
        <f>IF(F3="宗地容积率",'数据-汇总表'!I4,IF(F3="估价对象容积率",'数据-汇总表'!I6,'数据-汇总表'!I7))</f>
        <v>3.27</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1442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7"/>
      <c r="B4" s="3258"/>
      <c r="C4" s="3258"/>
      <c r="D4" s="3259"/>
      <c r="E4" s="3259"/>
      <c r="F4" s="3259"/>
      <c r="G4" s="3259"/>
      <c r="H4" s="3259"/>
      <c r="I4" s="3259"/>
      <c r="J4" s="3260"/>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1135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848</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638</v>
      </c>
      <c r="U6" s="1605"/>
      <c r="V6" s="1604">
        <f t="shared" ca="1" si="1"/>
        <v>0</v>
      </c>
      <c r="W6" s="1608"/>
      <c r="X6" s="1608"/>
      <c r="Y6" s="1608"/>
      <c r="Z6" s="1608"/>
      <c r="AA6" s="1608"/>
      <c r="AB6" s="1608"/>
      <c r="AC6" s="2735"/>
      <c r="AD6" s="2736"/>
      <c r="AE6" s="2736"/>
      <c r="AF6" s="2736"/>
      <c r="AG6" s="2736"/>
      <c r="AH6" s="2736"/>
      <c r="AI6" s="2736"/>
      <c r="AJ6" s="2737"/>
    </row>
    <row r="7" spans="1:36" ht="24">
      <c r="A7" s="3261"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510</v>
      </c>
      <c r="U7" s="1605"/>
      <c r="V7" s="1604">
        <f t="shared" ca="1" si="1"/>
        <v>0</v>
      </c>
      <c r="W7" s="1818" t="s">
        <v>2836</v>
      </c>
      <c r="X7" s="1606" t="str">
        <f>G2</f>
        <v>九级</v>
      </c>
      <c r="Y7" s="1606" t="s">
        <v>2837</v>
      </c>
      <c r="Z7" s="1607">
        <f>G3</f>
        <v>3.27</v>
      </c>
      <c r="AA7" s="1608"/>
      <c r="AB7" s="1608"/>
      <c r="AC7" s="1609"/>
      <c r="AD7" s="1610"/>
      <c r="AE7" s="1610"/>
      <c r="AF7" s="1610"/>
      <c r="AG7" s="1610"/>
      <c r="AH7" s="1610"/>
      <c r="AI7" s="1610"/>
      <c r="AJ7" s="1611"/>
    </row>
    <row r="8" spans="1:36" ht="15">
      <c r="A8" s="3262"/>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4" t="s">
        <v>2841</v>
      </c>
      <c r="X8" s="3255"/>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2"/>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56"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2"/>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2"/>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6" t="s">
        <v>2865</v>
      </c>
      <c r="X11" s="1616" t="s">
        <v>2866</v>
      </c>
      <c r="Y11" s="1617">
        <f>$G$3</f>
        <v>3.27</v>
      </c>
      <c r="Z11" s="1617">
        <f t="shared" ref="Z11:AJ11" si="3">$G$3</f>
        <v>3.27</v>
      </c>
      <c r="AA11" s="1617">
        <f t="shared" si="3"/>
        <v>3.27</v>
      </c>
      <c r="AB11" s="1617">
        <f t="shared" si="3"/>
        <v>3.27</v>
      </c>
      <c r="AC11" s="1617">
        <f t="shared" si="3"/>
        <v>3.27</v>
      </c>
      <c r="AD11" s="1617">
        <f t="shared" si="3"/>
        <v>3.27</v>
      </c>
      <c r="AE11" s="1617">
        <f t="shared" si="3"/>
        <v>3.27</v>
      </c>
      <c r="AF11" s="1617">
        <f t="shared" si="3"/>
        <v>3.27</v>
      </c>
      <c r="AG11" s="1617">
        <f t="shared" si="3"/>
        <v>3.27</v>
      </c>
      <c r="AH11" s="1617">
        <f t="shared" si="3"/>
        <v>3.27</v>
      </c>
      <c r="AI11" s="1617">
        <f t="shared" si="3"/>
        <v>3.27</v>
      </c>
      <c r="AJ11" s="1617">
        <f t="shared" si="3"/>
        <v>3.27</v>
      </c>
    </row>
    <row r="12" spans="1:36" ht="25.5" thickBot="1">
      <c r="A12" s="3261"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6"/>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3"/>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56"/>
      <c r="X13" s="1618"/>
      <c r="Y13" s="1615">
        <f>(-0.163*(Y12^2)-0.59*Y12+7617)*(10^(-4))/Y11</f>
        <v>0.23293577981651378</v>
      </c>
      <c r="Z13" s="1615">
        <f t="shared" ref="Z13:AJ13" si="5">(-0.163*(Z12^2)-0.59*Z12+7617)*(10^(-4))/Z11</f>
        <v>0.23293577981651378</v>
      </c>
      <c r="AA13" s="1615">
        <f t="shared" si="5"/>
        <v>0.23293577981651378</v>
      </c>
      <c r="AB13" s="1615">
        <f t="shared" si="5"/>
        <v>0.23293577981651378</v>
      </c>
      <c r="AC13" s="1615">
        <f t="shared" si="5"/>
        <v>0.23293577981651378</v>
      </c>
      <c r="AD13" s="1615">
        <f t="shared" si="5"/>
        <v>0.23293577981651378</v>
      </c>
      <c r="AE13" s="1615">
        <f t="shared" si="5"/>
        <v>0.23293577981651378</v>
      </c>
      <c r="AF13" s="1615">
        <f t="shared" si="5"/>
        <v>0.23293577981651378</v>
      </c>
      <c r="AG13" s="1615">
        <f t="shared" si="5"/>
        <v>0.23293577981651378</v>
      </c>
      <c r="AH13" s="1615">
        <f t="shared" si="5"/>
        <v>0.23293577981651378</v>
      </c>
      <c r="AI13" s="1615">
        <f t="shared" si="5"/>
        <v>0.23293577981651378</v>
      </c>
      <c r="AJ13" s="1615">
        <f t="shared" si="5"/>
        <v>0.23293577981651378</v>
      </c>
    </row>
    <row r="14" spans="1:36" ht="15">
      <c r="A14" s="3263"/>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4"/>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1"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2"/>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0.57750000000000001</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0.57750000000000001</v>
      </c>
      <c r="E22" s="915">
        <f>ROUNDDOWN(G3,1)</f>
        <v>3.2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0.58230000000000004</v>
      </c>
      <c r="G22" s="915">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0.57540000000000002</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1.0173000000000001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250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651</v>
      </c>
      <c r="D29" s="2845">
        <f>'数据-汇总表'!E6</f>
        <v>3846.04</v>
      </c>
      <c r="E29" s="944">
        <f ca="1">ROUND(C29*D29/10000,0)</f>
        <v>250</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98</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2128.77</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1"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141.91870958999999</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72"/>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2"/>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3"/>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225</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225</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1.0173000000000001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3102</v>
      </c>
      <c r="D81" s="1288">
        <f t="shared" ref="D81:D88" si="25">SUMIF($J$80:$N$80,C81,J81:N81)</f>
        <v>6.4999999999999997E-3</v>
      </c>
      <c r="E81" s="820">
        <f>ROUND(SUM(D81:D88),4)</f>
        <v>1.7299999999999999E-2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3103</v>
      </c>
      <c r="D82" s="1288">
        <f t="shared" si="25"/>
        <v>0</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3102</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3102</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3103</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估价对象所在区域基础设施水平较好</v>
      </c>
      <c r="C86" s="2770" t="s">
        <v>3108</v>
      </c>
      <c r="D86" s="1288">
        <f t="shared" si="25"/>
        <v>7.4000000000000003E-3</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3104</v>
      </c>
      <c r="C87" s="2770" t="s">
        <v>3102</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3103</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65" t="s">
        <v>2973</v>
      </c>
      <c r="B90" s="3265"/>
      <c r="C90" s="3265"/>
      <c r="D90" s="3265"/>
      <c r="E90" s="3265"/>
      <c r="F90" s="3265"/>
      <c r="G90" s="3265"/>
      <c r="H90" s="3265"/>
      <c r="I90" s="3265"/>
      <c r="J90" s="3265"/>
      <c r="K90" s="2892"/>
      <c r="L90" s="2892"/>
      <c r="M90" s="2892"/>
      <c r="N90" s="2892"/>
    </row>
    <row r="91" spans="1:37">
      <c r="A91" s="3267" t="s">
        <v>2974</v>
      </c>
      <c r="B91" s="3267" t="s">
        <v>2975</v>
      </c>
      <c r="C91" s="2846" t="s">
        <v>2976</v>
      </c>
      <c r="D91" s="2847"/>
      <c r="E91" s="2847"/>
      <c r="F91" s="2847"/>
      <c r="G91" s="2847"/>
      <c r="H91" s="2847"/>
      <c r="I91" s="2847"/>
      <c r="J91" s="2893"/>
      <c r="K91" s="2894"/>
      <c r="L91" s="2894"/>
      <c r="M91" s="2894"/>
      <c r="N91" s="2894"/>
    </row>
    <row r="92" spans="1:37">
      <c r="A92" s="3267"/>
      <c r="B92" s="3267"/>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8"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9"/>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8" t="s">
        <v>2978</v>
      </c>
      <c r="B101" s="2899" t="s">
        <v>2979</v>
      </c>
      <c r="C101" s="2900">
        <f>$G$3</f>
        <v>3.27</v>
      </c>
      <c r="D101" s="2900">
        <f t="shared" ref="D101:N101" si="31">$G$3</f>
        <v>3.27</v>
      </c>
      <c r="E101" s="2900">
        <f t="shared" si="31"/>
        <v>3.27</v>
      </c>
      <c r="F101" s="2900">
        <f t="shared" si="31"/>
        <v>3.27</v>
      </c>
      <c r="G101" s="2900">
        <f t="shared" si="31"/>
        <v>3.27</v>
      </c>
      <c r="H101" s="2900">
        <f t="shared" si="31"/>
        <v>3.27</v>
      </c>
      <c r="I101" s="2900">
        <f t="shared" si="31"/>
        <v>3.27</v>
      </c>
      <c r="J101" s="2900">
        <f t="shared" si="31"/>
        <v>3.27</v>
      </c>
      <c r="K101" s="2900">
        <f t="shared" si="31"/>
        <v>3.27</v>
      </c>
      <c r="L101" s="2900">
        <f t="shared" si="31"/>
        <v>3.27</v>
      </c>
      <c r="M101" s="2900">
        <f t="shared" si="31"/>
        <v>3.27</v>
      </c>
      <c r="N101" s="2900">
        <f t="shared" si="31"/>
        <v>3.27</v>
      </c>
    </row>
    <row r="102" spans="1:14">
      <c r="A102" s="3269"/>
      <c r="B102" s="2895">
        <v>1</v>
      </c>
      <c r="C102" s="2896">
        <f>1.9362/C101</f>
        <v>0.59211009174311924</v>
      </c>
      <c r="D102" s="2896">
        <f>1.9362/D101</f>
        <v>0.59211009174311924</v>
      </c>
      <c r="E102" s="2896">
        <f>1.8629/E101</f>
        <v>0.56969418960244644</v>
      </c>
      <c r="F102" s="2896">
        <f>1.8629/F101</f>
        <v>0.56969418960244644</v>
      </c>
      <c r="G102" s="2896">
        <f>1.8629/G101</f>
        <v>0.56969418960244644</v>
      </c>
      <c r="H102" s="2896">
        <f>1.8629/H101</f>
        <v>0.56969418960244644</v>
      </c>
      <c r="I102" s="2896">
        <f>1.8629/I101</f>
        <v>0.56969418960244644</v>
      </c>
      <c r="J102" s="2896">
        <f>1.942/J101</f>
        <v>0.5938837920489296</v>
      </c>
      <c r="K102" s="2896">
        <f>1.942/K101</f>
        <v>0.5938837920489296</v>
      </c>
      <c r="L102" s="2896">
        <f>1.942/L101</f>
        <v>0.5938837920489296</v>
      </c>
      <c r="M102" s="2896">
        <f>1.942/M101</f>
        <v>0.5938837920489296</v>
      </c>
      <c r="N102" s="2896">
        <f>1.942/N101</f>
        <v>0.5938837920489296</v>
      </c>
    </row>
    <row r="103" spans="1:14">
      <c r="A103" s="3269"/>
      <c r="B103" s="2895">
        <v>2</v>
      </c>
      <c r="C103" s="2896">
        <f>1.4198/C101</f>
        <v>0.43418960244648314</v>
      </c>
      <c r="D103" s="2896">
        <f>1.4198/D101</f>
        <v>0.43418960244648314</v>
      </c>
      <c r="E103" s="2896">
        <f>1.3372/E101</f>
        <v>0.4089296636085627</v>
      </c>
      <c r="F103" s="2896">
        <f>1.3372/F101</f>
        <v>0.4089296636085627</v>
      </c>
      <c r="G103" s="2896">
        <f>1.3372/G101</f>
        <v>0.4089296636085627</v>
      </c>
      <c r="H103" s="2896">
        <f>1.3372/H101</f>
        <v>0.4089296636085627</v>
      </c>
      <c r="I103" s="2896">
        <f>1.3372/I101</f>
        <v>0.4089296636085627</v>
      </c>
      <c r="J103" s="2896">
        <f>1.2799/J101</f>
        <v>0.39140672782874619</v>
      </c>
      <c r="K103" s="2896">
        <f>1.2799/K101</f>
        <v>0.39140672782874619</v>
      </c>
      <c r="L103" s="2896">
        <f>1.2799/L101</f>
        <v>0.39140672782874619</v>
      </c>
      <c r="M103" s="2896">
        <f>1.2799/M101</f>
        <v>0.39140672782874619</v>
      </c>
      <c r="N103" s="2896">
        <f>1.2799/N101</f>
        <v>0.39140672782874619</v>
      </c>
    </row>
    <row r="104" spans="1:14">
      <c r="A104" s="3269"/>
      <c r="B104" s="2895">
        <v>3</v>
      </c>
      <c r="C104" s="2896">
        <f>1.1594/C101</f>
        <v>0.35455657492354742</v>
      </c>
      <c r="D104" s="2896">
        <f>1.1594/D101</f>
        <v>0.35455657492354742</v>
      </c>
      <c r="E104" s="2896">
        <f>1.0788/E101</f>
        <v>0.32990825688073394</v>
      </c>
      <c r="F104" s="2896">
        <f>1.0788/F101</f>
        <v>0.32990825688073394</v>
      </c>
      <c r="G104" s="2896">
        <f>1.0788/G101</f>
        <v>0.32990825688073394</v>
      </c>
      <c r="H104" s="2896">
        <f>1.0788/H101</f>
        <v>0.32990825688073394</v>
      </c>
      <c r="I104" s="2896">
        <f>1.0788/I101</f>
        <v>0.32990825688073394</v>
      </c>
      <c r="J104" s="2896">
        <f>1.0072/J101</f>
        <v>0.30801223241590214</v>
      </c>
      <c r="K104" s="2896">
        <f>1.0072/K101</f>
        <v>0.30801223241590214</v>
      </c>
      <c r="L104" s="2896">
        <f>1.0072/L101</f>
        <v>0.30801223241590214</v>
      </c>
      <c r="M104" s="2896">
        <f>1.0072/M101</f>
        <v>0.30801223241590214</v>
      </c>
      <c r="N104" s="2896">
        <f>1.0072/N101</f>
        <v>0.30801223241590214</v>
      </c>
    </row>
    <row r="105" spans="1:14">
      <c r="A105" s="3269"/>
      <c r="B105" s="2895">
        <v>4</v>
      </c>
      <c r="C105" s="2896">
        <f>0.9622/C101</f>
        <v>0.29425076452599391</v>
      </c>
      <c r="D105" s="2896">
        <f>0.9622/D101</f>
        <v>0.29425076452599391</v>
      </c>
      <c r="E105" s="2896">
        <f>0.8656/E101</f>
        <v>0.26470948012232415</v>
      </c>
      <c r="F105" s="2896">
        <f>0.8656/F101</f>
        <v>0.26470948012232415</v>
      </c>
      <c r="G105" s="2896">
        <f>0.8656/G101</f>
        <v>0.26470948012232415</v>
      </c>
      <c r="H105" s="2896">
        <f>0.8656/H101</f>
        <v>0.26470948012232415</v>
      </c>
      <c r="I105" s="2896">
        <f>0.8656/I101</f>
        <v>0.26470948012232415</v>
      </c>
      <c r="J105" s="2896">
        <f>0.7525/J101</f>
        <v>0.2301223241590214</v>
      </c>
      <c r="K105" s="2896">
        <f>0.7525/K101</f>
        <v>0.2301223241590214</v>
      </c>
      <c r="L105" s="2896">
        <f>0.7525/L101</f>
        <v>0.2301223241590214</v>
      </c>
      <c r="M105" s="2896">
        <f>0.7525/M101</f>
        <v>0.2301223241590214</v>
      </c>
      <c r="N105" s="2896">
        <f>0.7525/N101</f>
        <v>0.2301223241590214</v>
      </c>
    </row>
    <row r="106" spans="1:14">
      <c r="A106" s="3269"/>
      <c r="B106" s="2895">
        <v>5</v>
      </c>
      <c r="C106" s="2896">
        <f>0.8417/C101</f>
        <v>0.25740061162079508</v>
      </c>
      <c r="D106" s="2896">
        <f>0.8417/D101</f>
        <v>0.25740061162079508</v>
      </c>
      <c r="E106" s="2896">
        <f>0.7371/E101</f>
        <v>0.22541284403669723</v>
      </c>
      <c r="F106" s="2896">
        <f>0.7371/F101</f>
        <v>0.22541284403669723</v>
      </c>
      <c r="G106" s="2896">
        <f>0.7371/G101</f>
        <v>0.22541284403669723</v>
      </c>
      <c r="H106" s="2896">
        <f>0.7371/H101</f>
        <v>0.22541284403669723</v>
      </c>
      <c r="I106" s="2896">
        <f>0.7371/I101</f>
        <v>0.22541284403669723</v>
      </c>
      <c r="J106" s="2896">
        <f>0.5659/J101</f>
        <v>0.17305810397553514</v>
      </c>
      <c r="K106" s="2896">
        <f>0.5659/K101</f>
        <v>0.17305810397553514</v>
      </c>
      <c r="L106" s="2896">
        <f>0.5659/L101</f>
        <v>0.17305810397553514</v>
      </c>
      <c r="M106" s="2896">
        <f>0.5659/M101</f>
        <v>0.17305810397553514</v>
      </c>
      <c r="N106" s="2896">
        <f>0.5659/N101</f>
        <v>0.17305810397553514</v>
      </c>
    </row>
    <row r="107" spans="1:14">
      <c r="A107" s="3269"/>
      <c r="B107" s="2895">
        <v>6</v>
      </c>
      <c r="C107" s="2896">
        <f>0.7608/C101</f>
        <v>0.23266055045871561</v>
      </c>
      <c r="D107" s="2896">
        <f>0.7608/D101</f>
        <v>0.23266055045871561</v>
      </c>
      <c r="E107" s="2896">
        <f>0.6482/E101</f>
        <v>0.19822629969418959</v>
      </c>
      <c r="F107" s="2896">
        <f>0.6482/F101</f>
        <v>0.19822629969418959</v>
      </c>
      <c r="G107" s="2896">
        <f>0.6482/G101</f>
        <v>0.19822629969418959</v>
      </c>
      <c r="H107" s="2896">
        <f>0.6482/H101</f>
        <v>0.19822629969418959</v>
      </c>
      <c r="I107" s="2896">
        <f>0.6482/I101</f>
        <v>0.19822629969418959</v>
      </c>
      <c r="J107" s="2896">
        <f>0.4525/J101</f>
        <v>0.13837920489296637</v>
      </c>
      <c r="K107" s="2896">
        <f>0.4525/K101</f>
        <v>0.13837920489296637</v>
      </c>
      <c r="L107" s="2896">
        <f>0.4525/L101</f>
        <v>0.13837920489296637</v>
      </c>
      <c r="M107" s="2896">
        <f>0.4525/M101</f>
        <v>0.13837920489296637</v>
      </c>
      <c r="N107" s="2896">
        <f>0.4525/N101</f>
        <v>0.13837920489296637</v>
      </c>
    </row>
    <row r="108" spans="1:14">
      <c r="A108" s="3269"/>
      <c r="B108" s="3127"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0"/>
      <c r="B109" s="3128"/>
      <c r="C109" s="2898">
        <f>(-0.163*(C108^2)-0.59*C108+7617)*(10^(-4))/C101</f>
        <v>0.23293577981651378</v>
      </c>
      <c r="D109" s="2898">
        <f>(-0.163*(D108^2)-0.59*D108+7617)*(10^(-4))/D101</f>
        <v>0.23293577981651378</v>
      </c>
      <c r="E109" s="2898">
        <f>(-0.161*(E108^2)-7.509*E108+6533)*(10^(-4))/E101</f>
        <v>0.19978593272171252</v>
      </c>
      <c r="F109" s="2898">
        <f>(-0.161*(F108^2)-7.509*F108+6533)*(10^(-4))/F101</f>
        <v>0.19978593272171252</v>
      </c>
      <c r="G109" s="2898">
        <f>(-0.161*(G108^2)-7.509*G108+6533)*(10^(-4))/G101</f>
        <v>0.19978593272171252</v>
      </c>
      <c r="H109" s="2898">
        <f>(-0.161*(H108^2)-7.509*H108+6533)*(10^(-4))/H101</f>
        <v>0.19978593272171252</v>
      </c>
      <c r="I109" s="2898">
        <f>(-0.161*(I108^2)-7.509*I108+6533)*(10^(-4))/I101</f>
        <v>0.19978593272171252</v>
      </c>
      <c r="J109" s="2898">
        <f>(-0.214*(J108^2)-21.991*J108+4665)*(10^(-4))/J101</f>
        <v>0.14266055045871559</v>
      </c>
      <c r="K109" s="2898">
        <f>(-0.214*(K108^2)-21.991*K108+4665)*(10^(-4))/K101</f>
        <v>0.14266055045871559</v>
      </c>
      <c r="L109" s="2898">
        <f>(-0.214*(L108^2)-21.991*L108+4665)*(10^(-4))/L101</f>
        <v>0.14266055045871559</v>
      </c>
      <c r="M109" s="2898">
        <f>(-0.214*(M108^2)-21.991*M108+4665)*(10^(-4))/M101</f>
        <v>0.14266055045871559</v>
      </c>
      <c r="N109" s="2898">
        <f>(-0.214*(N108^2)-21.991*N108+4665)*(10^(-4))/N101</f>
        <v>0.14266055045871559</v>
      </c>
    </row>
    <row r="110" spans="1:14">
      <c r="A110" s="3266" t="s">
        <v>2981</v>
      </c>
      <c r="B110" s="3266"/>
      <c r="C110" s="3266"/>
      <c r="D110" s="3266"/>
      <c r="E110" s="3266"/>
      <c r="F110" s="3266"/>
      <c r="G110" s="3266"/>
      <c r="H110" s="3266"/>
      <c r="I110" s="3266"/>
      <c r="J110" s="3266"/>
      <c r="K110" s="2901"/>
      <c r="L110" s="2901"/>
      <c r="M110" s="2901"/>
      <c r="N110" s="2901"/>
    </row>
    <row r="112" spans="1:14" ht="13.5" thickBot="1"/>
    <row r="113" spans="1:13" ht="25.5" thickBot="1">
      <c r="A113" s="902" t="s">
        <v>2982</v>
      </c>
      <c r="B113" s="1289">
        <f>G3</f>
        <v>3.27</v>
      </c>
      <c r="C113" s="903" t="s">
        <v>2983</v>
      </c>
      <c r="D113" s="904">
        <f>SUMPRODUCT((A115:A118=F113)*(B114:M114=H113)*B115:M118)</f>
        <v>0.5222</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0.90280000000000005</v>
      </c>
      <c r="C115" s="909">
        <f>B115</f>
        <v>0.90280000000000005</v>
      </c>
      <c r="D115" s="909">
        <f>ROUND(0.8331-0.0109*B113,4)</f>
        <v>0.79749999999999999</v>
      </c>
      <c r="E115" s="909">
        <f>D115</f>
        <v>0.79749999999999999</v>
      </c>
      <c r="F115" s="909">
        <f>E115</f>
        <v>0.79749999999999999</v>
      </c>
      <c r="G115" s="909">
        <f>F115</f>
        <v>0.79749999999999999</v>
      </c>
      <c r="H115" s="909">
        <f>G115</f>
        <v>0.79749999999999999</v>
      </c>
      <c r="I115" s="909">
        <f>ROUND(0.689-0.0155*B113,4)</f>
        <v>0.63829999999999998</v>
      </c>
      <c r="J115" s="909">
        <f t="shared" ref="J115:M118" si="33">I115</f>
        <v>0.63829999999999998</v>
      </c>
      <c r="K115" s="909">
        <f t="shared" si="33"/>
        <v>0.63829999999999998</v>
      </c>
      <c r="L115" s="909">
        <f t="shared" si="33"/>
        <v>0.63829999999999998</v>
      </c>
      <c r="M115" s="910">
        <f t="shared" si="33"/>
        <v>0.63829999999999998</v>
      </c>
    </row>
    <row r="116" spans="1:13">
      <c r="A116" s="908" t="s">
        <v>2881</v>
      </c>
      <c r="B116" s="909">
        <f>ROUND(0.949-0.012*B113,4)</f>
        <v>0.90980000000000005</v>
      </c>
      <c r="C116" s="909">
        <f>B116</f>
        <v>0.90980000000000005</v>
      </c>
      <c r="D116" s="909">
        <f>ROUND(0.8567-0.013*B113,4)</f>
        <v>0.81420000000000003</v>
      </c>
      <c r="E116" s="909">
        <f t="shared" ref="E116:H117" si="34">D116</f>
        <v>0.81420000000000003</v>
      </c>
      <c r="F116" s="909">
        <f t="shared" si="34"/>
        <v>0.81420000000000003</v>
      </c>
      <c r="G116" s="909">
        <f t="shared" si="34"/>
        <v>0.81420000000000003</v>
      </c>
      <c r="H116" s="909">
        <f t="shared" si="34"/>
        <v>0.81420000000000003</v>
      </c>
      <c r="I116" s="909">
        <f>ROUND(0.7694-0.014*B113,4)</f>
        <v>0.72360000000000002</v>
      </c>
      <c r="J116" s="909">
        <f t="shared" si="33"/>
        <v>0.72360000000000002</v>
      </c>
      <c r="K116" s="909">
        <f t="shared" si="33"/>
        <v>0.72360000000000002</v>
      </c>
      <c r="L116" s="909">
        <f t="shared" si="33"/>
        <v>0.72360000000000002</v>
      </c>
      <c r="M116" s="910">
        <f t="shared" si="33"/>
        <v>0.72360000000000002</v>
      </c>
    </row>
    <row r="117" spans="1:13">
      <c r="A117" s="908" t="s">
        <v>2882</v>
      </c>
      <c r="B117" s="909">
        <f>ROUND(0.8808-0.006*B113,4)</f>
        <v>0.86119999999999997</v>
      </c>
      <c r="C117" s="909">
        <f>B117</f>
        <v>0.86119999999999997</v>
      </c>
      <c r="D117" s="909">
        <f>ROUND(0.8748-0.008*B113,4)</f>
        <v>0.84860000000000002</v>
      </c>
      <c r="E117" s="909">
        <f t="shared" si="34"/>
        <v>0.84860000000000002</v>
      </c>
      <c r="F117" s="909">
        <f t="shared" si="34"/>
        <v>0.84860000000000002</v>
      </c>
      <c r="G117" s="909">
        <f t="shared" si="34"/>
        <v>0.84860000000000002</v>
      </c>
      <c r="H117" s="909">
        <f t="shared" si="34"/>
        <v>0.84860000000000002</v>
      </c>
      <c r="I117" s="909">
        <f>ROUND(0.7412-0.0095*B113,4)</f>
        <v>0.71009999999999995</v>
      </c>
      <c r="J117" s="909">
        <f t="shared" si="33"/>
        <v>0.71009999999999995</v>
      </c>
      <c r="K117" s="909">
        <f t="shared" si="33"/>
        <v>0.71009999999999995</v>
      </c>
      <c r="L117" s="909">
        <f t="shared" si="33"/>
        <v>0.71009999999999995</v>
      </c>
      <c r="M117" s="910">
        <f t="shared" si="33"/>
        <v>0.71009999999999995</v>
      </c>
    </row>
    <row r="118" spans="1:13" ht="13.5" thickBot="1">
      <c r="A118" s="713" t="s">
        <v>2883</v>
      </c>
      <c r="B118" s="911">
        <f>ROUND(0.7275-0.01*B113,4)</f>
        <v>0.69479999999999997</v>
      </c>
      <c r="C118" s="911">
        <f>B118</f>
        <v>0.69479999999999997</v>
      </c>
      <c r="D118" s="911">
        <f>ROUND(0.7043-0.012*B113,4)</f>
        <v>0.66510000000000002</v>
      </c>
      <c r="E118" s="911">
        <f>D118</f>
        <v>0.66510000000000002</v>
      </c>
      <c r="F118" s="911">
        <f>E118</f>
        <v>0.66510000000000002</v>
      </c>
      <c r="G118" s="911">
        <f>ROUND(0.6299-0.0122*B113,4)</f>
        <v>0.59</v>
      </c>
      <c r="H118" s="911">
        <f>G118</f>
        <v>0.59</v>
      </c>
      <c r="I118" s="911">
        <f>ROUND(0.5667-0.0136*B113,4)</f>
        <v>0.5222</v>
      </c>
      <c r="J118" s="911">
        <f t="shared" si="33"/>
        <v>0.5222</v>
      </c>
      <c r="K118" s="911">
        <f t="shared" si="33"/>
        <v>0.5222</v>
      </c>
      <c r="L118" s="911">
        <f t="shared" si="33"/>
        <v>0.5222</v>
      </c>
      <c r="M118" s="912">
        <f t="shared" si="33"/>
        <v>0.5222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4" t="s">
        <v>183</v>
      </c>
      <c r="B18" s="881" t="s">
        <v>560</v>
      </c>
      <c r="C18" s="882" t="s">
        <v>561</v>
      </c>
      <c r="D18" s="883"/>
      <c r="E18" s="881">
        <v>1</v>
      </c>
      <c r="F18" s="884" t="s">
        <v>562</v>
      </c>
      <c r="G18" s="885"/>
      <c r="H18" s="877"/>
      <c r="I18" s="877"/>
    </row>
    <row r="19" spans="1:9" s="886" customFormat="1" ht="19.5" customHeight="1">
      <c r="A19" s="3274"/>
      <c r="B19" s="3274" t="s">
        <v>563</v>
      </c>
      <c r="C19" s="882" t="s">
        <v>564</v>
      </c>
      <c r="D19" s="883"/>
      <c r="E19" s="881">
        <v>0.9</v>
      </c>
      <c r="F19" s="884" t="s">
        <v>565</v>
      </c>
      <c r="G19" s="885"/>
      <c r="H19" s="877"/>
      <c r="I19" s="877"/>
    </row>
    <row r="20" spans="1:9" s="886" customFormat="1" ht="19.5" customHeight="1">
      <c r="A20" s="3274"/>
      <c r="B20" s="3274"/>
      <c r="C20" s="882" t="s">
        <v>566</v>
      </c>
      <c r="D20" s="883"/>
      <c r="E20" s="881">
        <v>1.1000000000000001</v>
      </c>
      <c r="F20" s="884" t="s">
        <v>567</v>
      </c>
      <c r="G20" s="885"/>
      <c r="H20" s="877"/>
      <c r="I20" s="877"/>
    </row>
    <row r="21" spans="1:9" s="886" customFormat="1" ht="19.5" customHeight="1">
      <c r="A21" s="3274"/>
      <c r="B21" s="3274"/>
      <c r="C21" s="882" t="s">
        <v>568</v>
      </c>
      <c r="D21" s="883"/>
      <c r="E21" s="881">
        <v>0.8</v>
      </c>
      <c r="F21" s="884" t="s">
        <v>569</v>
      </c>
      <c r="G21" s="885"/>
      <c r="H21" s="877"/>
      <c r="I21" s="877"/>
    </row>
    <row r="22" spans="1:9" s="886" customFormat="1" ht="19.5" customHeight="1">
      <c r="A22" s="3274"/>
      <c r="B22" s="3274"/>
      <c r="C22" s="882" t="s">
        <v>570</v>
      </c>
      <c r="D22" s="883"/>
      <c r="E22" s="881">
        <v>0.5</v>
      </c>
      <c r="F22" s="884"/>
      <c r="G22" s="885"/>
      <c r="H22" s="877"/>
      <c r="I22" s="877"/>
    </row>
    <row r="23" spans="1:9" s="886" customFormat="1" ht="19.5" customHeight="1">
      <c r="A23" s="3274" t="s">
        <v>184</v>
      </c>
      <c r="B23" s="881" t="s">
        <v>560</v>
      </c>
      <c r="C23" s="882" t="s">
        <v>571</v>
      </c>
      <c r="D23" s="883"/>
      <c r="E23" s="881">
        <v>1</v>
      </c>
      <c r="F23" s="884" t="s">
        <v>572</v>
      </c>
      <c r="G23" s="885"/>
      <c r="H23" s="877"/>
      <c r="I23" s="877"/>
    </row>
    <row r="24" spans="1:9" s="886" customFormat="1" ht="19.5" customHeight="1">
      <c r="A24" s="3274"/>
      <c r="B24" s="3274" t="s">
        <v>563</v>
      </c>
      <c r="C24" s="882" t="s">
        <v>573</v>
      </c>
      <c r="D24" s="883"/>
      <c r="E24" s="881">
        <v>0.5</v>
      </c>
      <c r="F24" s="884"/>
      <c r="G24" s="885"/>
      <c r="H24" s="877"/>
      <c r="I24" s="877"/>
    </row>
    <row r="25" spans="1:9" s="886" customFormat="1" ht="19.5" customHeight="1">
      <c r="A25" s="3274"/>
      <c r="B25" s="3274"/>
      <c r="C25" s="882" t="s">
        <v>574</v>
      </c>
      <c r="D25" s="883"/>
      <c r="E25" s="881">
        <v>1.1000000000000001</v>
      </c>
      <c r="F25" s="884"/>
      <c r="G25" s="885"/>
      <c r="H25" s="877"/>
      <c r="I25" s="877"/>
    </row>
    <row r="26" spans="1:9" s="886" customFormat="1" ht="19.5" customHeight="1">
      <c r="A26" s="3274"/>
      <c r="B26" s="3274"/>
      <c r="C26" s="882" t="s">
        <v>575</v>
      </c>
      <c r="D26" s="883"/>
      <c r="E26" s="881">
        <v>1.1000000000000001</v>
      </c>
      <c r="F26" s="884"/>
      <c r="G26" s="885"/>
      <c r="H26" s="877"/>
      <c r="I26" s="877"/>
    </row>
    <row r="27" spans="1:9" s="886" customFormat="1" ht="19.5" customHeight="1">
      <c r="A27" s="3274"/>
      <c r="B27" s="3274"/>
      <c r="C27" s="882" t="s">
        <v>576</v>
      </c>
      <c r="D27" s="883"/>
      <c r="E27" s="881">
        <v>0.9</v>
      </c>
      <c r="F27" s="884" t="s">
        <v>577</v>
      </c>
      <c r="G27" s="885"/>
      <c r="H27" s="877"/>
      <c r="I27" s="877"/>
    </row>
    <row r="28" spans="1:9" s="886" customFormat="1" ht="19.5" customHeight="1">
      <c r="A28" s="3274"/>
      <c r="B28" s="3274"/>
      <c r="C28" s="882" t="s">
        <v>578</v>
      </c>
      <c r="D28" s="883"/>
      <c r="E28" s="881">
        <v>0.9</v>
      </c>
      <c r="F28" s="884" t="s">
        <v>579</v>
      </c>
      <c r="G28" s="885"/>
      <c r="H28" s="877"/>
      <c r="I28" s="877"/>
    </row>
    <row r="29" spans="1:9" s="886" customFormat="1" ht="19.5" customHeight="1">
      <c r="A29" s="3274"/>
      <c r="B29" s="3274"/>
      <c r="C29" s="882" t="s">
        <v>580</v>
      </c>
      <c r="D29" s="883"/>
      <c r="E29" s="881">
        <v>0.9</v>
      </c>
      <c r="F29" s="884" t="s">
        <v>581</v>
      </c>
      <c r="G29" s="885"/>
      <c r="H29" s="877"/>
      <c r="I29" s="877"/>
    </row>
    <row r="30" spans="1:9" s="886" customFormat="1" ht="19.5" customHeight="1">
      <c r="A30" s="3274"/>
      <c r="B30" s="3274"/>
      <c r="C30" s="882" t="s">
        <v>582</v>
      </c>
      <c r="D30" s="883"/>
      <c r="E30" s="881">
        <v>0.9</v>
      </c>
      <c r="F30" s="884" t="s">
        <v>583</v>
      </c>
      <c r="G30" s="885"/>
      <c r="H30" s="877"/>
      <c r="I30" s="877"/>
    </row>
    <row r="31" spans="1:9" s="886" customFormat="1" ht="19.5" customHeight="1">
      <c r="A31" s="3274"/>
      <c r="B31" s="3274"/>
      <c r="C31" s="882" t="s">
        <v>584</v>
      </c>
      <c r="D31" s="883"/>
      <c r="E31" s="881">
        <v>0.8</v>
      </c>
      <c r="F31" s="884" t="s">
        <v>585</v>
      </c>
      <c r="G31" s="885"/>
      <c r="H31" s="877"/>
      <c r="I31" s="877"/>
    </row>
    <row r="32" spans="1:9" s="886" customFormat="1" ht="19.5" customHeight="1">
      <c r="A32" s="3274"/>
      <c r="B32" s="3274"/>
      <c r="C32" s="882" t="s">
        <v>586</v>
      </c>
      <c r="D32" s="883"/>
      <c r="E32" s="881">
        <v>0.8</v>
      </c>
      <c r="F32" s="884" t="s">
        <v>587</v>
      </c>
      <c r="G32" s="885"/>
      <c r="H32" s="877"/>
      <c r="I32" s="877"/>
    </row>
    <row r="33" spans="1:9" s="886" customFormat="1" ht="19.5" customHeight="1">
      <c r="A33" s="3274" t="s">
        <v>185</v>
      </c>
      <c r="B33" s="881" t="s">
        <v>560</v>
      </c>
      <c r="C33" s="882" t="s">
        <v>588</v>
      </c>
      <c r="D33" s="883"/>
      <c r="E33" s="881">
        <v>1</v>
      </c>
      <c r="F33" s="884" t="s">
        <v>589</v>
      </c>
      <c r="G33" s="885"/>
      <c r="H33" s="877"/>
      <c r="I33" s="877"/>
    </row>
    <row r="34" spans="1:9" s="886" customFormat="1" ht="19.5" customHeight="1">
      <c r="A34" s="3274"/>
      <c r="B34" s="881" t="s">
        <v>563</v>
      </c>
      <c r="C34" s="882" t="s">
        <v>590</v>
      </c>
      <c r="D34" s="883"/>
      <c r="E34" s="881">
        <v>1.5</v>
      </c>
      <c r="F34" s="884" t="s">
        <v>591</v>
      </c>
      <c r="G34" s="885"/>
      <c r="H34" s="877"/>
      <c r="I34" s="877"/>
    </row>
    <row r="35" spans="1:9" s="886" customFormat="1" ht="19.5" customHeight="1">
      <c r="A35" s="3274" t="s">
        <v>186</v>
      </c>
      <c r="B35" s="881" t="s">
        <v>560</v>
      </c>
      <c r="C35" s="882" t="s">
        <v>592</v>
      </c>
      <c r="D35" s="883"/>
      <c r="E35" s="881">
        <v>1</v>
      </c>
      <c r="F35" s="884" t="s">
        <v>593</v>
      </c>
      <c r="G35" s="885"/>
      <c r="H35" s="877"/>
      <c r="I35" s="877"/>
    </row>
    <row r="36" spans="1:9" s="886" customFormat="1" ht="19.5" customHeight="1">
      <c r="A36" s="3274"/>
      <c r="B36" s="3274" t="s">
        <v>563</v>
      </c>
      <c r="C36" s="882" t="s">
        <v>594</v>
      </c>
      <c r="D36" s="883"/>
      <c r="E36" s="881">
        <v>1</v>
      </c>
      <c r="F36" s="884" t="s">
        <v>595</v>
      </c>
      <c r="G36" s="885"/>
      <c r="H36" s="877"/>
      <c r="I36" s="877"/>
    </row>
    <row r="37" spans="1:9" s="886" customFormat="1" ht="19.5" customHeight="1">
      <c r="A37" s="3274"/>
      <c r="B37" s="3274"/>
      <c r="C37" s="882" t="s">
        <v>596</v>
      </c>
      <c r="D37" s="883"/>
      <c r="E37" s="881">
        <v>1.5</v>
      </c>
      <c r="F37" s="884" t="s">
        <v>597</v>
      </c>
      <c r="G37" s="885"/>
      <c r="H37" s="877"/>
      <c r="I37" s="877"/>
    </row>
    <row r="38" spans="1:9" s="886" customFormat="1" ht="19.5" customHeight="1">
      <c r="A38" s="3274"/>
      <c r="B38" s="3274"/>
      <c r="C38" s="882" t="s">
        <v>598</v>
      </c>
      <c r="D38" s="883"/>
      <c r="E38" s="881">
        <v>1</v>
      </c>
      <c r="F38" s="884" t="s">
        <v>599</v>
      </c>
      <c r="G38" s="885"/>
      <c r="H38" s="877"/>
      <c r="I38" s="877"/>
    </row>
    <row r="39" spans="1:9" s="886" customFormat="1" ht="19.5" customHeight="1">
      <c r="A39" s="3274"/>
      <c r="B39" s="32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4" t="s">
        <v>614</v>
      </c>
      <c r="C61" s="817" t="s">
        <v>615</v>
      </c>
      <c r="D61" s="817" t="s">
        <v>616</v>
      </c>
      <c r="E61" s="894">
        <v>0.5</v>
      </c>
      <c r="F61" s="881">
        <v>80</v>
      </c>
    </row>
    <row r="62" spans="1:8" s="877" customFormat="1" ht="24">
      <c r="A62" s="881">
        <v>2</v>
      </c>
      <c r="B62" s="3274"/>
      <c r="C62" s="817" t="s">
        <v>617</v>
      </c>
      <c r="D62" s="817" t="s">
        <v>618</v>
      </c>
      <c r="E62" s="894">
        <v>0.5</v>
      </c>
      <c r="F62" s="881">
        <v>80</v>
      </c>
    </row>
    <row r="63" spans="1:8" s="877" customFormat="1" ht="36">
      <c r="A63" s="881">
        <v>3</v>
      </c>
      <c r="B63" s="3274"/>
      <c r="C63" s="817" t="s">
        <v>619</v>
      </c>
      <c r="D63" s="817" t="s">
        <v>620</v>
      </c>
      <c r="E63" s="894">
        <v>0.5</v>
      </c>
      <c r="F63" s="881">
        <v>80</v>
      </c>
    </row>
    <row r="64" spans="1:8" s="877" customFormat="1" ht="36">
      <c r="A64" s="881">
        <v>4</v>
      </c>
      <c r="B64" s="3274"/>
      <c r="C64" s="817" t="s">
        <v>621</v>
      </c>
      <c r="D64" s="817" t="s">
        <v>622</v>
      </c>
      <c r="E64" s="894">
        <v>0.4</v>
      </c>
      <c r="F64" s="881">
        <v>60</v>
      </c>
    </row>
    <row r="65" spans="1:6" s="877" customFormat="1" ht="36">
      <c r="A65" s="881">
        <v>5</v>
      </c>
      <c r="B65" s="3274"/>
      <c r="C65" s="817" t="s">
        <v>623</v>
      </c>
      <c r="D65" s="817" t="s">
        <v>624</v>
      </c>
      <c r="E65" s="894">
        <v>0.2</v>
      </c>
      <c r="F65" s="881">
        <v>30</v>
      </c>
    </row>
    <row r="66" spans="1:6" s="877" customFormat="1" ht="36">
      <c r="A66" s="881">
        <v>6</v>
      </c>
      <c r="B66" s="3274"/>
      <c r="C66" s="817" t="s">
        <v>625</v>
      </c>
      <c r="D66" s="817" t="s">
        <v>626</v>
      </c>
      <c r="E66" s="894">
        <v>0.3</v>
      </c>
      <c r="F66" s="881">
        <v>50</v>
      </c>
    </row>
    <row r="67" spans="1:6" s="877" customFormat="1" ht="36">
      <c r="A67" s="881">
        <v>7</v>
      </c>
      <c r="B67" s="3274"/>
      <c r="C67" s="817" t="s">
        <v>627</v>
      </c>
      <c r="D67" s="817" t="s">
        <v>628</v>
      </c>
      <c r="E67" s="894">
        <v>0.2</v>
      </c>
      <c r="F67" s="881">
        <v>30</v>
      </c>
    </row>
    <row r="68" spans="1:6" s="877" customFormat="1" ht="36">
      <c r="A68" s="881">
        <v>8</v>
      </c>
      <c r="B68" s="3274"/>
      <c r="C68" s="817" t="s">
        <v>629</v>
      </c>
      <c r="D68" s="817" t="s">
        <v>630</v>
      </c>
      <c r="E68" s="894">
        <v>0.2</v>
      </c>
      <c r="F68" s="881">
        <v>30</v>
      </c>
    </row>
    <row r="69" spans="1:6" s="877" customFormat="1" ht="36">
      <c r="A69" s="881">
        <v>9</v>
      </c>
      <c r="B69" s="3274"/>
      <c r="C69" s="817" t="s">
        <v>631</v>
      </c>
      <c r="D69" s="817" t="s">
        <v>632</v>
      </c>
      <c r="E69" s="894">
        <v>0.2</v>
      </c>
      <c r="F69" s="881">
        <v>30</v>
      </c>
    </row>
    <row r="70" spans="1:6" s="877" customFormat="1" ht="48">
      <c r="A70" s="881">
        <v>10</v>
      </c>
      <c r="B70" s="3274"/>
      <c r="C70" s="817" t="s">
        <v>633</v>
      </c>
      <c r="D70" s="817" t="s">
        <v>634</v>
      </c>
      <c r="E70" s="894">
        <v>0.2</v>
      </c>
      <c r="F70" s="881">
        <v>30</v>
      </c>
    </row>
    <row r="71" spans="1:6" s="877" customFormat="1" ht="48">
      <c r="A71" s="881">
        <v>11</v>
      </c>
      <c r="B71" s="3274"/>
      <c r="C71" s="817" t="s">
        <v>635</v>
      </c>
      <c r="D71" s="817" t="s">
        <v>636</v>
      </c>
      <c r="E71" s="894">
        <v>0.2</v>
      </c>
      <c r="F71" s="881">
        <v>30</v>
      </c>
    </row>
    <row r="72" spans="1:6" s="877" customFormat="1" ht="36">
      <c r="A72" s="881">
        <v>12</v>
      </c>
      <c r="B72" s="3274"/>
      <c r="C72" s="817" t="s">
        <v>637</v>
      </c>
      <c r="D72" s="817" t="s">
        <v>638</v>
      </c>
      <c r="E72" s="894">
        <v>0.5</v>
      </c>
      <c r="F72" s="881">
        <v>80</v>
      </c>
    </row>
    <row r="73" spans="1:6" s="877" customFormat="1" ht="24">
      <c r="A73" s="881">
        <v>13</v>
      </c>
      <c r="B73" s="3274"/>
      <c r="C73" s="817" t="s">
        <v>639</v>
      </c>
      <c r="D73" s="817" t="s">
        <v>640</v>
      </c>
      <c r="E73" s="894">
        <v>0.4</v>
      </c>
      <c r="F73" s="881">
        <v>60</v>
      </c>
    </row>
    <row r="74" spans="1:6" s="877" customFormat="1" ht="24">
      <c r="A74" s="881">
        <v>14</v>
      </c>
      <c r="B74" s="3274"/>
      <c r="C74" s="817" t="s">
        <v>641</v>
      </c>
      <c r="D74" s="817" t="s">
        <v>642</v>
      </c>
      <c r="E74" s="894">
        <v>0.2</v>
      </c>
      <c r="F74" s="881">
        <v>30</v>
      </c>
    </row>
    <row r="75" spans="1:6" s="877" customFormat="1" ht="24">
      <c r="A75" s="881">
        <v>15</v>
      </c>
      <c r="B75" s="3274"/>
      <c r="C75" s="817" t="s">
        <v>643</v>
      </c>
      <c r="D75" s="817" t="s">
        <v>644</v>
      </c>
      <c r="E75" s="894">
        <v>0.2</v>
      </c>
      <c r="F75" s="881">
        <v>30</v>
      </c>
    </row>
    <row r="76" spans="1:6" s="877" customFormat="1" ht="24">
      <c r="A76" s="881">
        <v>16</v>
      </c>
      <c r="B76" s="3274" t="s">
        <v>645</v>
      </c>
      <c r="C76" s="817" t="s">
        <v>646</v>
      </c>
      <c r="D76" s="817" t="s">
        <v>647</v>
      </c>
      <c r="E76" s="894">
        <v>0.5</v>
      </c>
      <c r="F76" s="881">
        <v>80</v>
      </c>
    </row>
    <row r="77" spans="1:6" s="877" customFormat="1" ht="24">
      <c r="A77" s="881">
        <v>17</v>
      </c>
      <c r="B77" s="3274"/>
      <c r="C77" s="817" t="s">
        <v>648</v>
      </c>
      <c r="D77" s="817" t="s">
        <v>649</v>
      </c>
      <c r="E77" s="894">
        <v>0.5</v>
      </c>
      <c r="F77" s="881">
        <v>80</v>
      </c>
    </row>
    <row r="78" spans="1:6" s="877" customFormat="1" ht="24">
      <c r="A78" s="881">
        <v>18</v>
      </c>
      <c r="B78" s="3274"/>
      <c r="C78" s="817" t="s">
        <v>650</v>
      </c>
      <c r="D78" s="817" t="s">
        <v>651</v>
      </c>
      <c r="E78" s="894">
        <v>0.2</v>
      </c>
      <c r="F78" s="881">
        <v>30</v>
      </c>
    </row>
    <row r="79" spans="1:6" s="877" customFormat="1" ht="24">
      <c r="A79" s="881">
        <v>19</v>
      </c>
      <c r="B79" s="3274"/>
      <c r="C79" s="817" t="s">
        <v>652</v>
      </c>
      <c r="D79" s="817" t="s">
        <v>653</v>
      </c>
      <c r="E79" s="894">
        <v>0.5</v>
      </c>
      <c r="F79" s="881">
        <v>80</v>
      </c>
    </row>
    <row r="80" spans="1:6" s="877" customFormat="1" ht="36">
      <c r="A80" s="881">
        <v>20</v>
      </c>
      <c r="B80" s="3274"/>
      <c r="C80" s="817" t="s">
        <v>654</v>
      </c>
      <c r="D80" s="817" t="s">
        <v>655</v>
      </c>
      <c r="E80" s="894">
        <v>0.2</v>
      </c>
      <c r="F80" s="881">
        <v>30</v>
      </c>
    </row>
    <row r="81" spans="1:6" s="877" customFormat="1" ht="36">
      <c r="A81" s="881">
        <v>21</v>
      </c>
      <c r="B81" s="3274"/>
      <c r="C81" s="817" t="s">
        <v>656</v>
      </c>
      <c r="D81" s="817" t="s">
        <v>657</v>
      </c>
      <c r="E81" s="894">
        <v>0.2</v>
      </c>
      <c r="F81" s="881">
        <v>30</v>
      </c>
    </row>
    <row r="82" spans="1:6" s="877" customFormat="1" ht="48">
      <c r="A82" s="881">
        <v>22</v>
      </c>
      <c r="B82" s="3274"/>
      <c r="C82" s="817" t="s">
        <v>658</v>
      </c>
      <c r="D82" s="817" t="s">
        <v>659</v>
      </c>
      <c r="E82" s="894">
        <v>0.2</v>
      </c>
      <c r="F82" s="881">
        <v>30</v>
      </c>
    </row>
    <row r="83" spans="1:6" s="877" customFormat="1" ht="48">
      <c r="A83" s="881">
        <v>23</v>
      </c>
      <c r="B83" s="3274"/>
      <c r="C83" s="817" t="s">
        <v>660</v>
      </c>
      <c r="D83" s="817" t="s">
        <v>661</v>
      </c>
      <c r="E83" s="894">
        <v>0.2</v>
      </c>
      <c r="F83" s="881">
        <v>30</v>
      </c>
    </row>
    <row r="84" spans="1:6" s="877" customFormat="1" ht="36">
      <c r="A84" s="881">
        <v>24</v>
      </c>
      <c r="B84" s="3274"/>
      <c r="C84" s="817" t="s">
        <v>662</v>
      </c>
      <c r="D84" s="817" t="s">
        <v>663</v>
      </c>
      <c r="E84" s="894">
        <v>0.2</v>
      </c>
      <c r="F84" s="881">
        <v>30</v>
      </c>
    </row>
    <row r="85" spans="1:6" s="877" customFormat="1" ht="36">
      <c r="A85" s="881">
        <v>25</v>
      </c>
      <c r="B85" s="3274"/>
      <c r="C85" s="817" t="s">
        <v>664</v>
      </c>
      <c r="D85" s="817" t="s">
        <v>665</v>
      </c>
      <c r="E85" s="894">
        <v>0.5</v>
      </c>
      <c r="F85" s="881">
        <v>80</v>
      </c>
    </row>
    <row r="86" spans="1:6" s="877" customFormat="1" ht="36">
      <c r="A86" s="881">
        <v>26</v>
      </c>
      <c r="B86" s="3274"/>
      <c r="C86" s="817" t="s">
        <v>666</v>
      </c>
      <c r="D86" s="817" t="s">
        <v>667</v>
      </c>
      <c r="E86" s="894">
        <v>0.2</v>
      </c>
      <c r="F86" s="881">
        <v>30</v>
      </c>
    </row>
    <row r="87" spans="1:6" s="877" customFormat="1" ht="36">
      <c r="A87" s="881">
        <v>27</v>
      </c>
      <c r="B87" s="3274"/>
      <c r="C87" s="817" t="s">
        <v>668</v>
      </c>
      <c r="D87" s="817" t="s">
        <v>669</v>
      </c>
      <c r="E87" s="894">
        <v>0.2</v>
      </c>
      <c r="F87" s="881">
        <v>30</v>
      </c>
    </row>
    <row r="88" spans="1:6" s="877" customFormat="1" ht="36">
      <c r="A88" s="881">
        <v>28</v>
      </c>
      <c r="B88" s="3274"/>
      <c r="C88" s="817" t="s">
        <v>670</v>
      </c>
      <c r="D88" s="817" t="s">
        <v>671</v>
      </c>
      <c r="E88" s="894">
        <v>0.2</v>
      </c>
      <c r="F88" s="881">
        <v>30</v>
      </c>
    </row>
    <row r="89" spans="1:6" s="877" customFormat="1" ht="24">
      <c r="A89" s="881">
        <v>29</v>
      </c>
      <c r="B89" s="3274"/>
      <c r="C89" s="817" t="s">
        <v>672</v>
      </c>
      <c r="D89" s="817" t="s">
        <v>673</v>
      </c>
      <c r="E89" s="894">
        <v>0.2</v>
      </c>
      <c r="F89" s="881">
        <v>30</v>
      </c>
    </row>
    <row r="90" spans="1:6" s="877" customFormat="1" ht="24">
      <c r="A90" s="881">
        <v>30</v>
      </c>
      <c r="B90" s="3274"/>
      <c r="C90" s="817" t="s">
        <v>674</v>
      </c>
      <c r="D90" s="817" t="s">
        <v>675</v>
      </c>
      <c r="E90" s="894">
        <v>0.2</v>
      </c>
      <c r="F90" s="881">
        <v>30</v>
      </c>
    </row>
    <row r="91" spans="1:6" s="877" customFormat="1" ht="36">
      <c r="A91" s="881">
        <v>31</v>
      </c>
      <c r="B91" s="3274"/>
      <c r="C91" s="817" t="s">
        <v>676</v>
      </c>
      <c r="D91" s="817" t="s">
        <v>677</v>
      </c>
      <c r="E91" s="894">
        <v>0.2</v>
      </c>
      <c r="F91" s="881">
        <v>30</v>
      </c>
    </row>
    <row r="92" spans="1:6" s="877" customFormat="1" ht="24">
      <c r="A92" s="881">
        <v>32</v>
      </c>
      <c r="B92" s="3274" t="s">
        <v>678</v>
      </c>
      <c r="C92" s="881" t="s">
        <v>679</v>
      </c>
      <c r="D92" s="817" t="s">
        <v>680</v>
      </c>
      <c r="E92" s="894">
        <v>0.2</v>
      </c>
      <c r="F92" s="881">
        <v>30</v>
      </c>
    </row>
    <row r="93" spans="1:6" s="877" customFormat="1" ht="36">
      <c r="A93" s="881">
        <v>33</v>
      </c>
      <c r="B93" s="3274"/>
      <c r="C93" s="881" t="s">
        <v>681</v>
      </c>
      <c r="D93" s="817" t="s">
        <v>682</v>
      </c>
      <c r="E93" s="894">
        <v>0.2</v>
      </c>
      <c r="F93" s="881">
        <v>30</v>
      </c>
    </row>
    <row r="94" spans="1:6" s="877" customFormat="1" ht="48">
      <c r="A94" s="881">
        <v>34</v>
      </c>
      <c r="B94" s="3274"/>
      <c r="C94" s="881" t="s">
        <v>683</v>
      </c>
      <c r="D94" s="817" t="s">
        <v>684</v>
      </c>
      <c r="E94" s="894">
        <v>0.2</v>
      </c>
      <c r="F94" s="881">
        <v>30</v>
      </c>
    </row>
    <row r="95" spans="1:6" s="877" customFormat="1" ht="36">
      <c r="A95" s="881">
        <v>35</v>
      </c>
      <c r="B95" s="3274"/>
      <c r="C95" s="881" t="s">
        <v>685</v>
      </c>
      <c r="D95" s="817" t="s">
        <v>686</v>
      </c>
      <c r="E95" s="894">
        <v>0.2</v>
      </c>
      <c r="F95" s="881">
        <v>30</v>
      </c>
    </row>
    <row r="96" spans="1:6" s="877" customFormat="1" ht="48">
      <c r="A96" s="881">
        <v>36</v>
      </c>
      <c r="B96" s="3274"/>
      <c r="C96" s="817" t="s">
        <v>687</v>
      </c>
      <c r="D96" s="817" t="s">
        <v>688</v>
      </c>
      <c r="E96" s="894">
        <v>0.2</v>
      </c>
      <c r="F96" s="881">
        <v>30</v>
      </c>
    </row>
    <row r="97" spans="1:6" s="877" customFormat="1" ht="36">
      <c r="A97" s="881">
        <v>37</v>
      </c>
      <c r="B97" s="3274"/>
      <c r="C97" s="881" t="s">
        <v>689</v>
      </c>
      <c r="D97" s="817" t="s">
        <v>690</v>
      </c>
      <c r="E97" s="894">
        <v>0.2</v>
      </c>
      <c r="F97" s="881">
        <v>30</v>
      </c>
    </row>
    <row r="98" spans="1:6" s="877" customFormat="1" ht="36">
      <c r="A98" s="881">
        <v>38</v>
      </c>
      <c r="B98" s="3274"/>
      <c r="C98" s="881" t="s">
        <v>691</v>
      </c>
      <c r="D98" s="817" t="s">
        <v>692</v>
      </c>
      <c r="E98" s="894">
        <v>0.2</v>
      </c>
      <c r="F98" s="881">
        <v>30</v>
      </c>
    </row>
    <row r="99" spans="1:6" s="877" customFormat="1" ht="36">
      <c r="A99" s="881">
        <v>39</v>
      </c>
      <c r="B99" s="3274" t="s">
        <v>693</v>
      </c>
      <c r="C99" s="881" t="s">
        <v>694</v>
      </c>
      <c r="D99" s="817" t="s">
        <v>695</v>
      </c>
      <c r="E99" s="894">
        <v>0.3</v>
      </c>
      <c r="F99" s="881">
        <v>50</v>
      </c>
    </row>
    <row r="100" spans="1:6" s="877" customFormat="1" ht="24">
      <c r="A100" s="881">
        <v>40</v>
      </c>
      <c r="B100" s="3274"/>
      <c r="C100" s="881" t="s">
        <v>696</v>
      </c>
      <c r="D100" s="817" t="s">
        <v>697</v>
      </c>
      <c r="E100" s="894">
        <v>0.2</v>
      </c>
      <c r="F100" s="881">
        <v>30</v>
      </c>
    </row>
    <row r="101" spans="1:6" s="877" customFormat="1" ht="36">
      <c r="A101" s="881">
        <v>41</v>
      </c>
      <c r="B101" s="32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4" t="s">
        <v>708</v>
      </c>
      <c r="C105" s="881" t="s">
        <v>709</v>
      </c>
      <c r="D105" s="817" t="s">
        <v>710</v>
      </c>
      <c r="E105" s="894">
        <v>0.2</v>
      </c>
      <c r="F105" s="881">
        <v>30</v>
      </c>
    </row>
    <row r="106" spans="1:6" s="877" customFormat="1" ht="36">
      <c r="A106" s="881">
        <v>46</v>
      </c>
      <c r="B106" s="3274"/>
      <c r="C106" s="881" t="s">
        <v>711</v>
      </c>
      <c r="D106" s="817" t="s">
        <v>712</v>
      </c>
      <c r="E106" s="894">
        <v>0.2</v>
      </c>
      <c r="F106" s="881">
        <v>30</v>
      </c>
    </row>
    <row r="107" spans="1:6" s="877" customFormat="1" ht="36">
      <c r="A107" s="881">
        <v>47</v>
      </c>
      <c r="B107" s="3274" t="s">
        <v>713</v>
      </c>
      <c r="C107" s="881" t="s">
        <v>714</v>
      </c>
      <c r="D107" s="817" t="s">
        <v>715</v>
      </c>
      <c r="E107" s="894">
        <v>0.3</v>
      </c>
      <c r="F107" s="881">
        <v>50</v>
      </c>
    </row>
    <row r="108" spans="1:6" s="877" customFormat="1" ht="36">
      <c r="A108" s="881">
        <v>48</v>
      </c>
      <c r="B108" s="32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4" t="s">
        <v>724</v>
      </c>
      <c r="C111" s="881" t="s">
        <v>725</v>
      </c>
      <c r="D111" s="817" t="s">
        <v>726</v>
      </c>
      <c r="E111" s="894">
        <v>0.2</v>
      </c>
      <c r="F111" s="881">
        <v>30</v>
      </c>
    </row>
    <row r="112" spans="1:6" s="877" customFormat="1" ht="24">
      <c r="A112" s="881">
        <v>52</v>
      </c>
      <c r="B112" s="3274"/>
      <c r="C112" s="881" t="s">
        <v>727</v>
      </c>
      <c r="D112" s="817" t="s">
        <v>728</v>
      </c>
      <c r="E112" s="894">
        <v>0.2</v>
      </c>
      <c r="F112" s="881">
        <v>30</v>
      </c>
    </row>
    <row r="113" spans="1:6" s="877" customFormat="1" ht="24">
      <c r="A113" s="881">
        <v>53</v>
      </c>
      <c r="B113" s="32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4" t="s">
        <v>737</v>
      </c>
      <c r="C116" s="881" t="s">
        <v>738</v>
      </c>
      <c r="D116" s="817" t="s">
        <v>739</v>
      </c>
      <c r="E116" s="894">
        <v>0.2</v>
      </c>
      <c r="F116" s="881">
        <v>30</v>
      </c>
    </row>
    <row r="117" spans="1:6" ht="36">
      <c r="A117" s="881">
        <v>57</v>
      </c>
      <c r="B117" s="32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0.85019999999999996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250</v>
      </c>
      <c r="C2" s="2910" t="s">
        <v>2997</v>
      </c>
      <c r="D2" s="2910" t="s">
        <v>2998</v>
      </c>
      <c r="E2" s="2911">
        <f ca="1">SUMIF(E6:E13,"&lt;&gt;#ref!",E6:E13)</f>
        <v>3846.04</v>
      </c>
    </row>
    <row r="3" spans="1:5" ht="15.75">
      <c r="A3" s="2910" t="s">
        <v>2999</v>
      </c>
      <c r="B3" s="2911">
        <f ca="1">ROUND(B2*10000/E2,0)</f>
        <v>650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250</v>
      </c>
      <c r="C6" s="2910" t="s">
        <v>2997</v>
      </c>
      <c r="D6" s="2912"/>
      <c r="E6" s="2575">
        <f ca="1">SUMIF(INDIRECT("'"&amp;A6&amp;"'"&amp;"!C:C"),"建筑面积",INDIRECT("'"&amp;A6&amp;"'"&amp;"!D:D"))</f>
        <v>3846.04</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9" t="s">
        <v>1151</v>
      </c>
      <c r="H1" s="3279"/>
      <c r="I1" s="3279"/>
      <c r="J1" s="3279"/>
      <c r="K1" s="3279"/>
      <c r="L1" s="3279"/>
      <c r="N1" s="3279" t="s">
        <v>1152</v>
      </c>
      <c r="O1" s="3279"/>
      <c r="P1" s="3279"/>
      <c r="Q1" s="3279"/>
      <c r="R1" s="1448"/>
      <c r="S1" s="3279" t="s">
        <v>1153</v>
      </c>
      <c r="T1" s="3279"/>
      <c r="U1" s="3279"/>
      <c r="V1" s="3279"/>
      <c r="X1" s="3278" t="s">
        <v>1154</v>
      </c>
      <c r="Y1" s="3279"/>
      <c r="Z1" s="3279"/>
      <c r="AA1" s="3279"/>
      <c r="AB1" s="3279"/>
      <c r="AD1" s="3278" t="s">
        <v>1155</v>
      </c>
      <c r="AE1" s="3279"/>
      <c r="AF1" s="3279"/>
      <c r="AG1" s="3279"/>
      <c r="AH1" s="32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1">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2">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3"/>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3"/>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4"/>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1630</v>
      </c>
      <c r="C4" s="2972"/>
      <c r="D4" s="2972"/>
      <c r="E4" s="1963"/>
    </row>
    <row r="5" spans="1:5" ht="16.5" thickTop="1">
      <c r="A5" s="1961"/>
      <c r="B5" s="2970" t="s">
        <v>1622</v>
      </c>
      <c r="C5" s="1964" t="s">
        <v>1623</v>
      </c>
      <c r="D5" s="1042">
        <f ca="1">结果表!H101</f>
        <v>1817</v>
      </c>
      <c r="E5" s="1961"/>
    </row>
    <row r="6" spans="1:5" ht="15.75">
      <c r="A6" s="1961"/>
      <c r="B6" s="2970"/>
      <c r="C6" s="1964" t="s">
        <v>1624</v>
      </c>
      <c r="D6" s="1042" t="str">
        <f ca="1">NUMBERSTRING(INT(D5*10000),2)&amp;"元整"</f>
        <v>壹仟捌佰壹拾柒万元整</v>
      </c>
      <c r="E6" s="1961"/>
    </row>
    <row r="7" spans="1:5" ht="15.75">
      <c r="A7" s="1961"/>
      <c r="B7" s="2975"/>
      <c r="C7" s="1965" t="s">
        <v>1625</v>
      </c>
      <c r="D7" s="1043">
        <f ca="1">结果表!H102</f>
        <v>4724</v>
      </c>
      <c r="E7" s="1961"/>
    </row>
    <row r="8" spans="1:5" ht="15.75">
      <c r="A8" s="1961"/>
      <c r="B8" s="2976" t="str">
        <f>结果表!E103</f>
        <v>2.估价师知悉的法定优先受偿款</v>
      </c>
      <c r="C8" s="1966" t="s">
        <v>1626</v>
      </c>
      <c r="D8" s="1043">
        <f>结果表!H103</f>
        <v>0</v>
      </c>
      <c r="E8" s="1961"/>
    </row>
    <row r="9" spans="1:5" ht="15.75">
      <c r="A9" s="1961"/>
      <c r="B9" s="2978"/>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9" t="str">
        <f>结果表!E107</f>
        <v>3.房地产抵押价值</v>
      </c>
      <c r="C13" s="1969" t="s">
        <v>1623</v>
      </c>
      <c r="D13" s="1045">
        <f ca="1">结果表!H107</f>
        <v>1817</v>
      </c>
      <c r="E13" s="1961"/>
    </row>
    <row r="14" spans="1:5" ht="15.75">
      <c r="A14" s="1961"/>
      <c r="B14" s="2970"/>
      <c r="C14" s="1964" t="s">
        <v>1624</v>
      </c>
      <c r="D14" s="1042" t="str">
        <f ca="1">NUMBERSTRING(INT(D13*10000),2)&amp;"元整"</f>
        <v>壹仟捌佰壹拾柒万元整</v>
      </c>
      <c r="E14" s="1961"/>
    </row>
    <row r="15" spans="1:5" ht="15">
      <c r="A15" s="1961"/>
      <c r="B15" s="2975"/>
      <c r="C15" s="1965" t="s">
        <v>1634</v>
      </c>
      <c r="D15" s="1054">
        <f ca="1">结果表!H108</f>
        <v>4724</v>
      </c>
      <c r="E15" s="1961"/>
    </row>
    <row r="16" spans="1:5" ht="15">
      <c r="A16" s="1961"/>
      <c r="B16" s="2976" t="str">
        <f>结果表!E109</f>
        <v>——</v>
      </c>
      <c r="C16" s="1969" t="s">
        <v>1635</v>
      </c>
      <c r="D16" s="1970" t="str">
        <f>结果表!H109</f>
        <v>——</v>
      </c>
      <c r="E16" s="1961"/>
    </row>
    <row r="17" spans="1:5" ht="15.75">
      <c r="A17" s="1961"/>
      <c r="B17" s="2977"/>
      <c r="C17" s="1964" t="s">
        <v>1636</v>
      </c>
      <c r="D17" s="1042" t="e">
        <f>NUMBERSTRING(INT(D16*10000),2)&amp;"元整"</f>
        <v>#VALUE!</v>
      </c>
      <c r="E17" s="1961"/>
    </row>
    <row r="18" spans="1:5" ht="15">
      <c r="A18" s="1961"/>
      <c r="B18" s="2978"/>
      <c r="C18" s="1965" t="s">
        <v>1625</v>
      </c>
      <c r="D18" s="1054" t="str">
        <f>结果表!H110</f>
        <v>——</v>
      </c>
      <c r="E18" s="1961"/>
    </row>
    <row r="19" spans="1:5" ht="15.75">
      <c r="A19" s="1961"/>
      <c r="B19" s="2969" t="str">
        <f>结果表!E111</f>
        <v>——</v>
      </c>
      <c r="C19" s="1969" t="s">
        <v>1623</v>
      </c>
      <c r="D19" s="1043" t="str">
        <f>结果表!H111</f>
        <v>——</v>
      </c>
      <c r="E19" s="1961"/>
    </row>
    <row r="20" spans="1:5" ht="15.75">
      <c r="A20" s="1961"/>
      <c r="B20" s="2970"/>
      <c r="C20" s="1964" t="s">
        <v>1636</v>
      </c>
      <c r="D20" s="1042" t="e">
        <f>NUMBERSTRING(INT(D19*10000),2)&amp;"元整"</f>
        <v>#VALUE!</v>
      </c>
      <c r="E20" s="1961"/>
    </row>
    <row r="21" spans="1:5" ht="15.75" thickBot="1">
      <c r="A21" s="1961"/>
      <c r="B21" s="2971"/>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6" t="s">
        <v>3007</v>
      </c>
      <c r="D1" s="3287"/>
      <c r="E1" s="3287"/>
      <c r="F1" s="3287"/>
      <c r="G1" s="3287"/>
      <c r="H1" s="3287"/>
      <c r="I1" s="3287"/>
      <c r="J1" s="3287"/>
      <c r="K1" s="3287"/>
      <c r="L1" s="3287"/>
      <c r="M1" s="3287"/>
      <c r="N1" s="3287"/>
      <c r="O1" s="3287"/>
      <c r="P1" s="3287"/>
      <c r="Q1" s="3287"/>
      <c r="R1" s="3287"/>
      <c r="S1" s="328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149" t="s">
        <v>33</v>
      </c>
      <c r="D22" s="3150"/>
      <c r="E22" s="3150"/>
      <c r="F22" s="3150"/>
      <c r="G22" s="3150"/>
      <c r="H22" s="3150"/>
      <c r="I22" s="3150"/>
      <c r="J22" s="3150"/>
      <c r="K22" s="3150"/>
      <c r="L22" s="3150"/>
      <c r="M22" s="3150"/>
      <c r="N22" s="3150"/>
      <c r="O22" s="3150"/>
      <c r="P22" s="3150"/>
      <c r="Q22" s="328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28354</v>
      </c>
      <c r="C2" s="2" t="s">
        <v>133</v>
      </c>
      <c r="D2" s="242"/>
      <c r="E2" s="242"/>
      <c r="F2" s="242"/>
      <c r="G2" s="242"/>
    </row>
    <row r="3" spans="1:7" s="243" customFormat="1" ht="18" customHeight="1" thickBot="1">
      <c r="A3" s="246" t="s">
        <v>85</v>
      </c>
      <c r="B3" s="247">
        <f ca="1">ROUND(B2*10000/'数据-汇总表'!E3,0)</f>
        <v>73723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46</v>
      </c>
      <c r="D10" s="1034">
        <f>'数据-汇总表'!E6</f>
        <v>3846.04</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77</v>
      </c>
      <c r="D19" s="1038">
        <f>'数据-汇总表'!E3</f>
        <v>3846.04</v>
      </c>
      <c r="E19" s="254">
        <f>'数据-取费表'!B31</f>
        <v>200</v>
      </c>
      <c r="F19" s="274"/>
      <c r="G19" s="1" t="s">
        <v>1074</v>
      </c>
    </row>
    <row r="20" spans="1:7" s="257" customFormat="1" ht="13.5" customHeight="1">
      <c r="A20" s="950" t="s">
        <v>1057</v>
      </c>
      <c r="B20" s="253" t="s">
        <v>104</v>
      </c>
      <c r="C20" s="275">
        <f>ROUND((C5+C19)*F20,0)</f>
        <v>414</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2031</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7</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2110</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2110</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27300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881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769</v>
      </c>
      <c r="D34" s="260"/>
      <c r="E34" s="263"/>
      <c r="F34" s="300">
        <f>IF('数据-取费表'!B24=0,1,'数据-取费表'!N16)</f>
        <v>1</v>
      </c>
      <c r="G34" s="262" t="s">
        <v>116</v>
      </c>
    </row>
    <row r="35" spans="1:7" ht="13.5" customHeight="1">
      <c r="A35" s="953" t="s">
        <v>796</v>
      </c>
      <c r="B35" s="258" t="s">
        <v>60</v>
      </c>
      <c r="C35" s="263">
        <f>ROUND(C34*F35,0)</f>
        <v>23</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77</v>
      </c>
      <c r="D37" s="260">
        <f>'数据-汇总表'!E3</f>
        <v>3846.04</v>
      </c>
      <c r="E37" s="292">
        <f>'数据-取费表'!B35</f>
        <v>200</v>
      </c>
      <c r="F37" s="302"/>
      <c r="G37" s="304" t="s">
        <v>119</v>
      </c>
    </row>
    <row r="38" spans="1:7" ht="13.5" customHeight="1">
      <c r="A38" s="953" t="s">
        <v>799</v>
      </c>
      <c r="B38" s="258" t="s">
        <v>63</v>
      </c>
      <c r="C38" s="263">
        <f>ROUND(C34*F38,0)</f>
        <v>12</v>
      </c>
      <c r="D38" s="263"/>
      <c r="E38" s="263"/>
      <c r="F38" s="302">
        <f>'数据-取费表'!B36</f>
        <v>1.4999999999999999E-2</v>
      </c>
      <c r="G38" s="262" t="s">
        <v>117</v>
      </c>
    </row>
    <row r="39" spans="1:7" s="257" customFormat="1" ht="13.5" customHeight="1">
      <c r="A39" s="950" t="s">
        <v>783</v>
      </c>
      <c r="B39" s="253" t="s">
        <v>104</v>
      </c>
      <c r="C39" s="275">
        <f>ROUND(C33*F20,0)</f>
        <v>18</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43</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42</v>
      </c>
      <c r="D42" s="281"/>
      <c r="E42" s="281"/>
      <c r="F42" s="282"/>
      <c r="G42" s="3154" t="s">
        <v>121</v>
      </c>
    </row>
    <row r="43" spans="1:7" ht="13.5" customHeight="1">
      <c r="A43" s="953" t="s">
        <v>792</v>
      </c>
      <c r="B43" s="258" t="s">
        <v>1064</v>
      </c>
      <c r="C43" s="281">
        <f ca="1">ROUND(IF('数据-取费表'!B22&lt;=1,C39*F22*'数据-取费表'!B21/2,C39*(POWER((1+F22),'数据-取费表'!B21/2)-1)),0)</f>
        <v>1</v>
      </c>
      <c r="D43" s="281"/>
      <c r="E43" s="281"/>
      <c r="F43" s="282"/>
      <c r="G43" s="3155"/>
    </row>
    <row r="44" spans="1:7" ht="13.5" customHeight="1">
      <c r="A44" s="953" t="s">
        <v>793</v>
      </c>
      <c r="B44" s="258" t="s">
        <v>1066</v>
      </c>
      <c r="C44" s="281">
        <f ca="1">ROUND(IF('数据-取费表'!B22&lt;=1,C40*F22*'数据-取费表'!B21/2,C40*(POWER((1+F22),'数据-取费表'!B21/2)-1)),4)</f>
        <v>1E-3</v>
      </c>
      <c r="D44" s="281"/>
      <c r="E44" s="281"/>
      <c r="F44" s="282"/>
      <c r="G44" s="3156"/>
    </row>
    <row r="45" spans="1:7" s="257" customFormat="1" ht="13.5" customHeight="1">
      <c r="A45" s="950" t="s">
        <v>786</v>
      </c>
      <c r="B45" s="287" t="s">
        <v>112</v>
      </c>
      <c r="C45" s="288">
        <f>C46</f>
        <v>90</v>
      </c>
      <c r="D45" s="278">
        <f>C47</f>
        <v>2E-3</v>
      </c>
      <c r="E45" s="279" t="s">
        <v>129</v>
      </c>
      <c r="F45" s="289"/>
      <c r="G45" s="290" t="s">
        <v>1072</v>
      </c>
    </row>
    <row r="46" spans="1:7" s="257" customFormat="1" ht="13.5" customHeight="1">
      <c r="A46" s="953" t="s">
        <v>794</v>
      </c>
      <c r="B46" s="291" t="s">
        <v>1065</v>
      </c>
      <c r="C46" s="292">
        <f>ROUND((C33+C39)*F27,0)</f>
        <v>90</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1116</v>
      </c>
      <c r="D49" s="275"/>
      <c r="E49" s="275"/>
      <c r="F49" s="307"/>
      <c r="G49" s="277" t="s">
        <v>1073</v>
      </c>
    </row>
    <row r="50" spans="1:7" s="301" customFormat="1" ht="24">
      <c r="A50" s="950" t="s">
        <v>789</v>
      </c>
      <c r="B50" s="253" t="s">
        <v>124</v>
      </c>
      <c r="C50" s="275"/>
      <c r="D50" s="275"/>
      <c r="E50" s="275"/>
      <c r="F50" s="307">
        <f>IF('数据-取费表'!B24=0,'数据-取费表'!N16,1)</f>
        <v>0.94399999999999995</v>
      </c>
      <c r="G50" s="290" t="s">
        <v>125</v>
      </c>
    </row>
    <row r="51" spans="1:7" ht="16.5" customHeight="1">
      <c r="A51" s="950" t="s">
        <v>790</v>
      </c>
      <c r="B51" s="253" t="s">
        <v>132</v>
      </c>
      <c r="C51" s="275">
        <f ca="1">ROUND(C49*F50,0)</f>
        <v>1054</v>
      </c>
      <c r="D51" s="275"/>
      <c r="E51" s="275"/>
      <c r="F51" s="307"/>
      <c r="G51" s="277" t="s">
        <v>64</v>
      </c>
    </row>
    <row r="52" spans="1:7" s="251" customFormat="1" ht="16.5" thickBot="1">
      <c r="A52" s="308" t="s">
        <v>65</v>
      </c>
      <c r="B52" s="309"/>
      <c r="C52" s="310">
        <f ca="1">C31+C51</f>
        <v>28354</v>
      </c>
      <c r="D52" s="309"/>
      <c r="E52" s="309"/>
      <c r="F52" s="309"/>
      <c r="G52" s="311"/>
    </row>
    <row r="55" spans="1:7" ht="15">
      <c r="B55" s="313" t="s">
        <v>66</v>
      </c>
      <c r="C55" s="314"/>
    </row>
    <row r="56" spans="1:7">
      <c r="B56" s="316" t="s">
        <v>67</v>
      </c>
      <c r="C56" s="317">
        <f ca="1">ROUND(C51/C52,3)</f>
        <v>3.6999999999999998E-2</v>
      </c>
    </row>
    <row r="57" spans="1:7">
      <c r="B57" s="316" t="s">
        <v>68</v>
      </c>
      <c r="C57" s="318">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9" t="s">
        <v>156</v>
      </c>
      <c r="B1" s="3289"/>
      <c r="C1" s="3289"/>
      <c r="D1" s="3289"/>
      <c r="E1" s="3289"/>
      <c r="F1" s="32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0" t="s">
        <v>169</v>
      </c>
      <c r="B2" s="3290"/>
      <c r="C2" s="3290"/>
      <c r="D2" s="3290"/>
      <c r="E2" s="3290"/>
      <c r="F2" s="32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C1" workbookViewId="0">
      <selection activeCell="M16" sqref="M16"/>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3293">
        <f>ROUND(1-(1-2%)*4/70,3)</f>
        <v>0.94399999999999995</v>
      </c>
      <c r="G2" s="2959">
        <f>C2*F2</f>
        <v>1470.48768</v>
      </c>
      <c r="H2">
        <v>2000</v>
      </c>
      <c r="I2">
        <f>H2*C2</f>
        <v>3115440</v>
      </c>
    </row>
    <row r="3" spans="1:9">
      <c r="A3" s="2958" t="s">
        <v>3094</v>
      </c>
      <c r="B3">
        <v>2</v>
      </c>
      <c r="C3" s="2213">
        <v>2288.3200000000002</v>
      </c>
      <c r="D3" s="2958" t="s">
        <v>3077</v>
      </c>
      <c r="E3">
        <v>2014</v>
      </c>
      <c r="F3" s="3293">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3293">
        <f>ROUND(1-(1-0%)*11/60,3)</f>
        <v>0.81699999999999995</v>
      </c>
      <c r="G4" s="2959">
        <f t="shared" si="0"/>
        <v>3663.4933599999995</v>
      </c>
      <c r="H4">
        <v>2500</v>
      </c>
      <c r="I4">
        <f t="shared" si="1"/>
        <v>11210200</v>
      </c>
    </row>
    <row r="5" spans="1:9">
      <c r="A5" s="2958" t="s">
        <v>3096</v>
      </c>
      <c r="B5">
        <v>4</v>
      </c>
      <c r="C5" s="2213">
        <v>3652.29</v>
      </c>
      <c r="D5" t="s">
        <v>3077</v>
      </c>
      <c r="E5">
        <v>2007</v>
      </c>
      <c r="F5" s="3293">
        <f>ROUND(1-(1-2%)*11/70,3)</f>
        <v>0.84599999999999997</v>
      </c>
      <c r="G5" s="2959">
        <f t="shared" si="0"/>
        <v>3089.83734</v>
      </c>
      <c r="H5">
        <v>2000</v>
      </c>
      <c r="I5">
        <f t="shared" si="1"/>
        <v>7304580</v>
      </c>
    </row>
    <row r="6" spans="1:9">
      <c r="A6" s="2958" t="s">
        <v>3096</v>
      </c>
      <c r="B6">
        <v>5</v>
      </c>
      <c r="C6" s="2213">
        <v>3644.73</v>
      </c>
      <c r="D6" t="s">
        <v>3077</v>
      </c>
      <c r="E6">
        <v>2007</v>
      </c>
      <c r="F6" s="3293">
        <f>ROUND(1-(1-2%)*11/70,3)</f>
        <v>0.84599999999999997</v>
      </c>
      <c r="G6" s="2959">
        <f t="shared" si="0"/>
        <v>3083.4415799999997</v>
      </c>
      <c r="H6">
        <v>2000</v>
      </c>
      <c r="I6">
        <f t="shared" si="1"/>
        <v>7289460</v>
      </c>
    </row>
    <row r="7" spans="1:9" ht="14.25">
      <c r="A7" s="2958" t="s">
        <v>3096</v>
      </c>
      <c r="B7">
        <v>6</v>
      </c>
      <c r="C7" s="39">
        <v>2442.44</v>
      </c>
      <c r="D7" t="s">
        <v>3077</v>
      </c>
      <c r="E7">
        <v>2007</v>
      </c>
      <c r="F7" s="3293">
        <f>ROUND(1-(1-2%)*11/70,3)</f>
        <v>0.84599999999999997</v>
      </c>
      <c r="G7" s="2959">
        <f t="shared" si="0"/>
        <v>2066.3042399999999</v>
      </c>
      <c r="H7">
        <v>2000</v>
      </c>
      <c r="I7">
        <f t="shared" si="1"/>
        <v>4884880</v>
      </c>
    </row>
    <row r="8" spans="1:9" ht="14.25">
      <c r="A8" s="2958" t="s">
        <v>3095</v>
      </c>
      <c r="B8">
        <v>7</v>
      </c>
      <c r="C8" s="39">
        <v>1629.4</v>
      </c>
      <c r="D8" s="2958" t="s">
        <v>3079</v>
      </c>
      <c r="E8">
        <v>2007</v>
      </c>
      <c r="F8" s="3293">
        <f>ROUND(1-(1-0%)*11/60,3)</f>
        <v>0.81699999999999995</v>
      </c>
      <c r="G8" s="2959">
        <f t="shared" si="0"/>
        <v>1331.2198000000001</v>
      </c>
      <c r="H8">
        <v>2500</v>
      </c>
      <c r="I8">
        <f t="shared" si="1"/>
        <v>4073500</v>
      </c>
    </row>
    <row r="9" spans="1:9">
      <c r="C9" s="2960">
        <f>SUM(C2:C8)</f>
        <v>19698.98</v>
      </c>
      <c r="F9" s="3293">
        <v>0.86</v>
      </c>
      <c r="G9" s="2959">
        <f>ROUND(SUM(G2:G8)/C9,2)</f>
        <v>0.86</v>
      </c>
      <c r="I9">
        <f>SUM(I2:I3)/(C2+C3)</f>
        <v>2000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3846.04</v>
      </c>
      <c r="C4" s="1046">
        <f>项目基本情况!C18</f>
        <v>1176.69</v>
      </c>
      <c r="D4" s="1046">
        <f ca="1">结果表!D118</f>
        <v>501</v>
      </c>
      <c r="E4" s="1046">
        <f ca="1">结果表!E118</f>
        <v>1302</v>
      </c>
      <c r="F4" s="1046">
        <f ca="1">结果表!F118</f>
        <v>1316</v>
      </c>
      <c r="G4" s="1046">
        <f ca="1">结果表!G118</f>
        <v>3422</v>
      </c>
      <c r="H4" s="1046">
        <f ca="1">结果表!H118</f>
        <v>1817</v>
      </c>
      <c r="I4" s="1046">
        <f ca="1">结果表!I118</f>
        <v>4724</v>
      </c>
    </row>
    <row r="5" spans="1:9" ht="30" customHeight="1">
      <c r="A5" s="2983" t="s">
        <v>1640</v>
      </c>
      <c r="B5" s="2983"/>
      <c r="C5" s="2983"/>
      <c r="D5" s="2984" t="str">
        <f ca="1">结果表!D119</f>
        <v>伍佰零壹万元整</v>
      </c>
      <c r="E5" s="2984"/>
      <c r="F5" s="2984" t="str">
        <f ca="1">结果表!F119</f>
        <v>壹仟叁佰壹拾陆万元整</v>
      </c>
      <c r="G5" s="2984"/>
      <c r="H5" s="2984" t="str">
        <f ca="1">结果表!H119</f>
        <v>壹仟捌佰壹拾柒万元整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1640</v>
      </c>
      <c r="B7" s="2983"/>
      <c r="C7" s="2983"/>
      <c r="D7" s="2985" t="str">
        <f>结果表!D121</f>
        <v>零元整</v>
      </c>
      <c r="E7" s="2986"/>
      <c r="F7" s="2986"/>
      <c r="G7" s="2986"/>
      <c r="H7" s="2986"/>
      <c r="I7" s="2987"/>
    </row>
    <row r="8" spans="1:9" ht="15.75">
      <c r="A8" s="2982" t="str">
        <f>结果表!A122</f>
        <v>房地产抵押价值</v>
      </c>
      <c r="B8" s="2982"/>
      <c r="C8" s="2982"/>
      <c r="D8" s="2982">
        <f ca="1">结果表!D122</f>
        <v>1817</v>
      </c>
      <c r="E8" s="2982"/>
      <c r="F8" s="2982"/>
      <c r="G8" s="2982"/>
      <c r="H8" s="2982"/>
      <c r="I8" s="2982"/>
    </row>
    <row r="9" spans="1:9" ht="15">
      <c r="A9" s="2983" t="s">
        <v>1640</v>
      </c>
      <c r="B9" s="2983"/>
      <c r="C9" s="2983"/>
      <c r="D9" s="2984" t="str">
        <f ca="1">结果表!D123</f>
        <v>壹仟捌佰壹拾柒万元整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1640</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1662</v>
      </c>
      <c r="B1" s="2996"/>
      <c r="C1" s="2996"/>
      <c r="D1" s="2996"/>
    </row>
    <row r="2" spans="1:4" ht="18">
      <c r="A2" s="2997" t="s">
        <v>1646</v>
      </c>
      <c r="B2" s="2997"/>
      <c r="C2" s="2997"/>
      <c r="D2" s="2997"/>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7" t="s">
        <v>1652</v>
      </c>
      <c r="B6" s="2997"/>
      <c r="C6" s="2997"/>
      <c r="D6" s="2997"/>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8" t="s">
        <v>1655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v>
      </c>
      <c r="B15" s="2990"/>
      <c r="C15" s="2990"/>
      <c r="D15" s="2990"/>
    </row>
    <row r="16" spans="1:4" ht="30" customHeight="1">
      <c r="A16" s="2992" t="s">
        <v>1656</v>
      </c>
      <c r="B16" s="2992"/>
      <c r="C16" s="2992"/>
      <c r="D16" s="2992"/>
    </row>
    <row r="17" spans="1:4" ht="144" customHeight="1">
      <c r="A17" s="2992" t="s">
        <v>1657</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1658</v>
      </c>
      <c r="B22" s="2994"/>
      <c r="C22" s="2994"/>
      <c r="D22" s="299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4" t="s">
        <v>1669</v>
      </c>
      <c r="B15" s="2999" t="s">
        <v>136</v>
      </c>
      <c r="C15" s="3000"/>
    </row>
    <row r="16" spans="1:7" ht="13.5">
      <c r="A16" s="3005"/>
      <c r="B16" s="2999" t="s">
        <v>69</v>
      </c>
      <c r="C16" s="3000"/>
    </row>
    <row r="17" spans="1:3" ht="13.5">
      <c r="A17" s="3005"/>
      <c r="B17" s="3002" t="s">
        <v>1670</v>
      </c>
      <c r="C17" s="2002" t="s">
        <v>1669</v>
      </c>
    </row>
    <row r="18" spans="1:3" ht="13.5">
      <c r="A18" s="3005"/>
      <c r="B18" s="3002"/>
      <c r="C18" s="2002" t="s">
        <v>1671</v>
      </c>
    </row>
    <row r="19" spans="1:3" ht="13.5">
      <c r="A19" s="3005"/>
      <c r="B19" s="3002"/>
      <c r="C19" s="2002" t="s">
        <v>1672</v>
      </c>
    </row>
    <row r="20" spans="1:3" ht="13.5">
      <c r="A20" s="3006"/>
      <c r="B20" s="3001" t="s">
        <v>1673</v>
      </c>
      <c r="C20" s="3000"/>
    </row>
    <row r="21" spans="1:3" ht="13.5">
      <c r="A21" s="2003" t="s">
        <v>1674</v>
      </c>
      <c r="B21" s="2004"/>
      <c r="C21" s="2005"/>
    </row>
    <row r="22" spans="1:3" ht="13.5">
      <c r="A22" s="3003" t="s">
        <v>1675</v>
      </c>
      <c r="B22" s="3001" t="s">
        <v>1676</v>
      </c>
      <c r="C22" s="3000"/>
    </row>
    <row r="23" spans="1:3" ht="13.5">
      <c r="A23" s="3003"/>
      <c r="B23" s="3001" t="s">
        <v>1677</v>
      </c>
      <c r="C23" s="3000"/>
    </row>
    <row r="24" spans="1:3" ht="13.5">
      <c r="A24" s="3003"/>
      <c r="B24" s="3001" t="s">
        <v>1678</v>
      </c>
      <c r="C24" s="3000"/>
    </row>
    <row r="25" spans="1:3" ht="13.5">
      <c r="A25" s="3003"/>
      <c r="B25" s="3002" t="s">
        <v>1679</v>
      </c>
      <c r="C25" s="2002" t="s">
        <v>1680</v>
      </c>
    </row>
    <row r="26" spans="1:3" ht="13.5">
      <c r="A26" s="3003"/>
      <c r="B26" s="3002"/>
      <c r="C26" s="2002" t="s">
        <v>1681</v>
      </c>
    </row>
    <row r="27" spans="1:3" ht="13.5">
      <c r="A27" s="3003"/>
      <c r="B27" s="3002"/>
      <c r="C27" s="2002" t="s">
        <v>1682</v>
      </c>
    </row>
    <row r="28" spans="1:3" ht="13.5">
      <c r="A28" s="3003"/>
      <c r="B28" s="3002"/>
      <c r="C28" s="2002" t="s">
        <v>1683</v>
      </c>
    </row>
    <row r="29" spans="1:3" ht="13.5">
      <c r="A29" s="3003"/>
      <c r="B29" s="3002"/>
      <c r="C29" s="2002" t="s">
        <v>1684</v>
      </c>
    </row>
    <row r="30" spans="1:3" ht="13.5">
      <c r="A30" s="3003"/>
      <c r="B30" s="3002"/>
      <c r="C30" s="2002" t="s">
        <v>1685</v>
      </c>
    </row>
    <row r="31" spans="1:3" ht="13.5">
      <c r="A31" s="3003"/>
      <c r="B31" s="3002"/>
      <c r="C31" s="2002" t="s">
        <v>1686</v>
      </c>
    </row>
    <row r="32" spans="1:3" ht="13.5">
      <c r="A32" s="3003"/>
      <c r="B32" s="3002"/>
      <c r="C32" s="2002" t="s">
        <v>1687</v>
      </c>
    </row>
    <row r="33" spans="1:3" ht="13.5">
      <c r="A33" s="3003"/>
      <c r="B33" s="3002"/>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43577</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t="str">
        <f ca="1">IF(C10&lt;B2,"已过期",1120060040)</f>
        <v>已过期</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2019-04-22T01:57:16Z</dcterms:modified>
</cp:coreProperties>
</file>